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drawings/drawing5.xml" ContentType="application/vnd.openxmlformats-officedocument.drawing+xml"/>
  <Override PartName="/xl/drawings/drawing1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" yWindow="15" windowWidth="15135" windowHeight="8130" firstSheet="6" activeTab="10"/>
  </bookViews>
  <sheets>
    <sheet name="แสดงฐานะการเงิน" sheetId="1" r:id="rId1"/>
    <sheet name="ข้อมูลทั่วไป" sheetId="29" r:id="rId2"/>
    <sheet name="หมายเหตุ 1" sheetId="2" r:id="rId3"/>
    <sheet name="หมายเหตุ 2" sheetId="3" r:id="rId4"/>
    <sheet name="หมายเหตุ 3" sheetId="32" r:id="rId5"/>
    <sheet name="หมายเหตุ 4" sheetId="28" r:id="rId6"/>
    <sheet name="หมายเหตุ 5." sheetId="31" r:id="rId7"/>
    <sheet name="หมายเหตุ 6." sheetId="5" r:id="rId8"/>
    <sheet name="หมายเหตุ 7." sheetId="6" r:id="rId9"/>
    <sheet name="หมายเหตุ 8" sheetId="7" r:id="rId10"/>
    <sheet name="แนบท้าย หมายเหตุ 8" sheetId="8" r:id="rId11"/>
    <sheet name="หมายเหตุ 9" sheetId="9" r:id="rId12"/>
    <sheet name="งบกลาง" sheetId="10" r:id="rId13"/>
    <sheet name="บริหารงานทั่วไป" sheetId="11" r:id="rId14"/>
    <sheet name="รักษาความสงบ" sheetId="12" r:id="rId15"/>
    <sheet name="ศึกษา" sheetId="13" r:id="rId16"/>
    <sheet name="สาธารณสุข" sheetId="14" r:id="rId17"/>
    <sheet name="สังคมสงเคราะห์" sheetId="15" r:id="rId18"/>
    <sheet name="เคหะและชุมชน" sheetId="16" r:id="rId19"/>
    <sheet name="ศาสนาฯ" sheetId="24" r:id="rId20"/>
    <sheet name="สร้างความเข็มแข็ง" sheetId="17" r:id="rId21"/>
    <sheet name="เกษตร" sheetId="19" r:id="rId22"/>
    <sheet name="แผนงานรวม" sheetId="20" r:id="rId23"/>
    <sheet name="จ่ายจากเงินสะสม" sheetId="21" r:id="rId24"/>
    <sheet name="จ่ายจากเงินสำรองเงินสะสม " sheetId="26" r:id="rId25"/>
    <sheet name="ผลการดำเนินงานจากรายรับ" sheetId="22" r:id="rId26"/>
    <sheet name="หมายเหตุประกอบงบแสดงผลฯ" sheetId="30" r:id="rId27"/>
    <sheet name="โอนงบประมาณ" sheetId="23" r:id="rId28"/>
    <sheet name="Sheet25" sheetId="25" r:id="rId29"/>
  </sheets>
  <calcPr calcId="124519"/>
</workbook>
</file>

<file path=xl/calcChain.xml><?xml version="1.0" encoding="utf-8"?>
<calcChain xmlns="http://schemas.openxmlformats.org/spreadsheetml/2006/main">
  <c r="H19" i="8"/>
  <c r="E12" i="2"/>
  <c r="C17"/>
  <c r="E9"/>
  <c r="E8"/>
  <c r="C10"/>
  <c r="C9"/>
  <c r="E113" i="30" l="1"/>
  <c r="E53"/>
  <c r="E56"/>
  <c r="E9"/>
  <c r="H7"/>
  <c r="J21" i="7"/>
  <c r="I12"/>
  <c r="J24"/>
  <c r="L48" i="1"/>
  <c r="L14"/>
  <c r="J22"/>
  <c r="J51"/>
  <c r="J48"/>
  <c r="J45"/>
  <c r="J14"/>
  <c r="J13"/>
  <c r="J12"/>
  <c r="F9" i="32"/>
  <c r="J10" i="1"/>
  <c r="C18" i="2"/>
  <c r="B19" i="22"/>
  <c r="D19"/>
  <c r="E19"/>
  <c r="F19"/>
  <c r="G19"/>
  <c r="H19"/>
  <c r="I19"/>
  <c r="J19"/>
  <c r="K19"/>
  <c r="L19"/>
  <c r="M19"/>
  <c r="C7"/>
  <c r="C8"/>
  <c r="C9"/>
  <c r="C10"/>
  <c r="C11"/>
  <c r="C12"/>
  <c r="C13"/>
  <c r="C14"/>
  <c r="C15"/>
  <c r="H77" i="30" s="1"/>
  <c r="C16" i="22"/>
  <c r="C17"/>
  <c r="C18"/>
  <c r="C19"/>
  <c r="F19" i="15"/>
  <c r="G19" s="1"/>
  <c r="G12"/>
  <c r="J16" i="16"/>
  <c r="F16" i="23"/>
  <c r="F15"/>
  <c r="D10"/>
  <c r="I10"/>
  <c r="H10"/>
  <c r="G10"/>
  <c r="F10"/>
  <c r="I15"/>
  <c r="K16"/>
  <c r="M17"/>
  <c r="L11"/>
  <c r="J11"/>
  <c r="I11"/>
  <c r="G11"/>
  <c r="F11"/>
  <c r="D11"/>
  <c r="E11"/>
  <c r="J21"/>
  <c r="L21"/>
  <c r="N17"/>
  <c r="E21"/>
  <c r="D9"/>
  <c r="D12"/>
  <c r="D13"/>
  <c r="N13" s="1"/>
  <c r="D14"/>
  <c r="D16"/>
  <c r="F9"/>
  <c r="F12"/>
  <c r="F14"/>
  <c r="G9"/>
  <c r="G12"/>
  <c r="G14"/>
  <c r="G16"/>
  <c r="H9"/>
  <c r="H11"/>
  <c r="H12"/>
  <c r="I9"/>
  <c r="I12"/>
  <c r="I14"/>
  <c r="J16"/>
  <c r="K11"/>
  <c r="N16"/>
  <c r="O16" s="1"/>
  <c r="N18"/>
  <c r="N10"/>
  <c r="O10" s="1"/>
  <c r="N8"/>
  <c r="D8"/>
  <c r="D30" i="31"/>
  <c r="J28" i="7"/>
  <c r="H18"/>
  <c r="G15" i="6"/>
  <c r="G29" i="5"/>
  <c r="F27" i="28"/>
  <c r="G27"/>
  <c r="H117" i="30"/>
  <c r="C20" i="2"/>
  <c r="C15"/>
  <c r="C14"/>
  <c r="E79" i="30"/>
  <c r="E87" s="1"/>
  <c r="E15"/>
  <c r="E26" l="1"/>
  <c r="H76"/>
  <c r="N15" i="23"/>
  <c r="O15" s="1"/>
  <c r="N12"/>
  <c r="N14"/>
  <c r="G21"/>
  <c r="H21"/>
  <c r="K21"/>
  <c r="M21"/>
  <c r="I21"/>
  <c r="N9"/>
  <c r="F21"/>
  <c r="N11"/>
  <c r="N21" l="1"/>
  <c r="C29" i="22"/>
  <c r="C30" s="1"/>
  <c r="B29"/>
  <c r="G37" i="5"/>
  <c r="P13" i="20"/>
  <c r="P14" s="1"/>
  <c r="N19"/>
  <c r="N21"/>
  <c r="F19" i="8"/>
  <c r="I50" i="5" l="1"/>
  <c r="H72" i="30"/>
  <c r="C19" i="2" l="1"/>
  <c r="E10"/>
  <c r="C8"/>
  <c r="D18" i="11"/>
  <c r="H18" i="24"/>
  <c r="G18"/>
  <c r="F18"/>
  <c r="E18"/>
  <c r="D18"/>
  <c r="I16"/>
  <c r="I14"/>
  <c r="I13"/>
  <c r="I12"/>
  <c r="I11"/>
  <c r="I10"/>
  <c r="I9"/>
  <c r="I8"/>
  <c r="I18" l="1"/>
  <c r="E27" i="2"/>
  <c r="C27"/>
  <c r="J7" i="1" s="1"/>
  <c r="J42" s="1"/>
  <c r="D21" i="23"/>
  <c r="O27" i="26"/>
  <c r="N27"/>
  <c r="M27"/>
  <c r="L27"/>
  <c r="K27"/>
  <c r="J27"/>
  <c r="I27"/>
  <c r="H27"/>
  <c r="G27"/>
  <c r="F27"/>
  <c r="E27"/>
  <c r="D27"/>
  <c r="P26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P27" s="1"/>
  <c r="O27" i="21"/>
  <c r="N27"/>
  <c r="M27"/>
  <c r="L27"/>
  <c r="K27"/>
  <c r="J27"/>
  <c r="I27"/>
  <c r="H27"/>
  <c r="G27"/>
  <c r="F27"/>
  <c r="E27"/>
  <c r="D27"/>
  <c r="P26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M22" i="20"/>
  <c r="N13"/>
  <c r="N11"/>
  <c r="L22"/>
  <c r="K22"/>
  <c r="I22"/>
  <c r="G22"/>
  <c r="F18" i="19"/>
  <c r="E18"/>
  <c r="D18"/>
  <c r="G16"/>
  <c r="G14"/>
  <c r="G13"/>
  <c r="G12"/>
  <c r="G11"/>
  <c r="G10"/>
  <c r="G9"/>
  <c r="G8"/>
  <c r="F20" i="17"/>
  <c r="E20"/>
  <c r="D20"/>
  <c r="G19"/>
  <c r="G14"/>
  <c r="G13"/>
  <c r="G11"/>
  <c r="G10"/>
  <c r="G9"/>
  <c r="G8"/>
  <c r="J17" i="16"/>
  <c r="D19"/>
  <c r="J15"/>
  <c r="J14"/>
  <c r="J13"/>
  <c r="J12"/>
  <c r="J11"/>
  <c r="J10"/>
  <c r="J9"/>
  <c r="F8"/>
  <c r="G8" s="1"/>
  <c r="E19"/>
  <c r="E19" i="15"/>
  <c r="D19"/>
  <c r="G17"/>
  <c r="G15"/>
  <c r="G14"/>
  <c r="G13"/>
  <c r="G11"/>
  <c r="G10"/>
  <c r="G9"/>
  <c r="G8"/>
  <c r="H18" i="14"/>
  <c r="G18"/>
  <c r="F18"/>
  <c r="I16"/>
  <c r="I14"/>
  <c r="I13"/>
  <c r="I12"/>
  <c r="E18"/>
  <c r="I11"/>
  <c r="I10"/>
  <c r="I9"/>
  <c r="I8"/>
  <c r="H18" i="13"/>
  <c r="G18"/>
  <c r="F18"/>
  <c r="I17"/>
  <c r="I16"/>
  <c r="I15"/>
  <c r="I14"/>
  <c r="I13"/>
  <c r="I12"/>
  <c r="I11"/>
  <c r="I10"/>
  <c r="E18"/>
  <c r="D18"/>
  <c r="I9"/>
  <c r="I8"/>
  <c r="G17" i="12"/>
  <c r="F17"/>
  <c r="E17"/>
  <c r="H17" s="1"/>
  <c r="D17"/>
  <c r="H16"/>
  <c r="H14"/>
  <c r="H13"/>
  <c r="H12"/>
  <c r="H11"/>
  <c r="H10"/>
  <c r="H9"/>
  <c r="H8"/>
  <c r="G18" i="11"/>
  <c r="F18"/>
  <c r="E18"/>
  <c r="H17"/>
  <c r="H15"/>
  <c r="H14"/>
  <c r="H13"/>
  <c r="H12"/>
  <c r="H11"/>
  <c r="H10"/>
  <c r="H9"/>
  <c r="H8"/>
  <c r="E13" i="10"/>
  <c r="D13"/>
  <c r="F7"/>
  <c r="F13" s="1"/>
  <c r="G16" i="9"/>
  <c r="E19" i="8"/>
  <c r="D19"/>
  <c r="G19"/>
  <c r="H24" i="3"/>
  <c r="N16" i="20" l="1"/>
  <c r="N15"/>
  <c r="D22"/>
  <c r="F22"/>
  <c r="H22"/>
  <c r="N17"/>
  <c r="J22"/>
  <c r="N9"/>
  <c r="N10"/>
  <c r="N12"/>
  <c r="N14"/>
  <c r="E22"/>
  <c r="N8"/>
  <c r="N18"/>
  <c r="P27" i="21"/>
  <c r="G18" i="19"/>
  <c r="G20" i="17"/>
  <c r="I18" i="14"/>
  <c r="I18" i="13"/>
  <c r="H18" i="11"/>
  <c r="G54" i="5"/>
  <c r="F27" i="2"/>
  <c r="G19" i="16"/>
  <c r="H8"/>
  <c r="F19"/>
  <c r="N22" i="20" l="1"/>
  <c r="D7" i="7"/>
  <c r="F8" s="1"/>
  <c r="H19" s="1"/>
  <c r="H25" s="1"/>
  <c r="H31" s="1"/>
  <c r="I8" i="16"/>
  <c r="I19" s="1"/>
  <c r="H19"/>
  <c r="J8"/>
  <c r="J19" l="1"/>
  <c r="H32" i="7"/>
  <c r="J57" i="1" s="1"/>
  <c r="J60" s="1"/>
  <c r="J61" s="1"/>
  <c r="L52" l="1"/>
  <c r="L61"/>
  <c r="M21"/>
</calcChain>
</file>

<file path=xl/sharedStrings.xml><?xml version="1.0" encoding="utf-8"?>
<sst xmlns="http://schemas.openxmlformats.org/spreadsheetml/2006/main" count="1158" uniqueCount="427">
  <si>
    <t>องค์การบริหารส่วนตำบลควนสตอ</t>
  </si>
  <si>
    <t>งบแสดงฐานะการเงิน</t>
  </si>
  <si>
    <t>ทุนทรัพย์สิน</t>
  </si>
  <si>
    <t>หนี้สิน</t>
  </si>
  <si>
    <t>หมายเหต</t>
  </si>
  <si>
    <t>หนี้สินหมุนเวียน</t>
  </si>
  <si>
    <t>รายจ่ายค้างจ่าย</t>
  </si>
  <si>
    <t>ฎีกาค้างจ่าย</t>
  </si>
  <si>
    <t>รายจ่ายผัดส่งใบสำคัญ</t>
  </si>
  <si>
    <t>เงินรับฝาก</t>
  </si>
  <si>
    <t>หนี้สินหมุนเวียนอื่น</t>
  </si>
  <si>
    <t>รวมหน้สินหมุนเวียน</t>
  </si>
  <si>
    <t>หนี้สินไม่หมนเวียน</t>
  </si>
  <si>
    <t>หนี้สสินไม่หมุนเวียน</t>
  </si>
  <si>
    <t>รวมหนี้สินไม่หมุนเวียน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</si>
  <si>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</si>
  <si>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</si>
  <si>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</si>
  <si>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</si>
  <si>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หมายเหตุประกอบงบแสดงฐานะการเงิน</t>
  </si>
  <si>
    <t>ประเภททรัพย์สิน</t>
  </si>
  <si>
    <t>ราคาทรัพย์สิน</t>
  </si>
  <si>
    <t>แหล่งทรัพย์สิน</t>
  </si>
  <si>
    <t>ชื่อ</t>
  </si>
  <si>
    <t>จำนวนเงิน</t>
  </si>
  <si>
    <t>ก.</t>
  </si>
  <si>
    <t>อสังหาริมทรัพย์</t>
  </si>
  <si>
    <t>ที่ดิน</t>
  </si>
  <si>
    <t>ก. เงินรายได้องค์การบริหารส่วนตำบล</t>
  </si>
  <si>
    <t>สำนักงาน ที่ทำการ ศูนย์การบริหารงาน</t>
  </si>
  <si>
    <t>ข. เงินอุดหนุนรัฐบาล</t>
  </si>
  <si>
    <t>สาธารณูปโภค</t>
  </si>
  <si>
    <t>ค. เงินสะสม</t>
  </si>
  <si>
    <t>ทั่วไป</t>
  </si>
  <si>
    <t>ง. อื่นๆ - รับบริจาค</t>
  </si>
  <si>
    <t xml:space="preserve">         - รับโอน</t>
  </si>
  <si>
    <t>ข.</t>
  </si>
  <si>
    <t>สังหาริมทรัพย์</t>
  </si>
  <si>
    <t>ประเภททั่วไป</t>
  </si>
  <si>
    <t>ประเภทโยธา</t>
  </si>
  <si>
    <t>ประเภทวิทยาศาสตร์และการแพทย์</t>
  </si>
  <si>
    <t>ประเภทเครื่องใช้สำนักงาน</t>
  </si>
  <si>
    <t>ประเภทงานบ้านงานครัว</t>
  </si>
  <si>
    <t>ประเภทการกีฬา</t>
  </si>
  <si>
    <t>ประเภทการเกษตร</t>
  </si>
  <si>
    <t>รวม</t>
  </si>
  <si>
    <t>เงินสด</t>
  </si>
  <si>
    <t>เงินฝากธนาคาร</t>
  </si>
  <si>
    <t xml:space="preserve">กรุงไทย </t>
  </si>
  <si>
    <t>ประเภท ออมทรัพย์</t>
  </si>
  <si>
    <t>-</t>
  </si>
  <si>
    <t>บัญชีเลขที่  980-2-12961-5</t>
  </si>
  <si>
    <t>บัญชีเลขที่  980-2-12965-8</t>
  </si>
  <si>
    <t>ประเภท  กระแสรายวัน</t>
  </si>
  <si>
    <t>บัญชีเลขที่  980-1-58705-9</t>
  </si>
  <si>
    <t>ธกส.</t>
  </si>
  <si>
    <t>บัญชีเลขที่  275-2-16256-5</t>
  </si>
  <si>
    <t>บัญชีเลขที่  275-2-22236-9</t>
  </si>
  <si>
    <t>บัญชีเลขที่  275-2-21038-8</t>
  </si>
  <si>
    <t>ประเภท ประจำ 3 เดือน</t>
  </si>
  <si>
    <t>บัญชีเลขที่  275-4-01121-7</t>
  </si>
  <si>
    <t>บัญชีเลขที่  586-1-19222-7</t>
  </si>
  <si>
    <t>ประเภท ประจำ 12 เดือน</t>
  </si>
  <si>
    <t>บัญชีเลขที่  586-2-01826-3</t>
  </si>
  <si>
    <t>ประเภทลูกหนี้</t>
  </si>
  <si>
    <t>ประจำปี</t>
  </si>
  <si>
    <t>จำนวนราย</t>
  </si>
  <si>
    <t>ลูกหนี้ภาษีบำรุงท้องที่</t>
  </si>
  <si>
    <t>รวมทั้งสิ้น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</si>
  <si>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</si>
  <si>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</si>
  <si>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</si>
  <si>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</si>
  <si>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</si>
  <si>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</si>
  <si>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เงินงบประมาณ</t>
  </si>
  <si>
    <t>บริหารงานทั่วไป</t>
  </si>
  <si>
    <t>บริหารงานคลัง</t>
  </si>
  <si>
    <t>"</t>
  </si>
  <si>
    <t>ค่าใช้สอย</t>
  </si>
  <si>
    <t>รายจ่ายเพื่อให้ได้มาซึ่งบริการ</t>
  </si>
  <si>
    <t>จ้างเหมาบริการคนงานประจำรถน้ำเอนกประสงค์</t>
  </si>
  <si>
    <t>จ้างเหมาบริการคนขับรถยนต์ส่วนกลาง</t>
  </si>
  <si>
    <t>จ้างเหมาบริการแม่บ้านประจำ สนง.อบต.</t>
  </si>
  <si>
    <t>จ้างเหมาบริการรักษาความปลอดภัย</t>
  </si>
  <si>
    <t>จ้างเหมาบริการผู้ช่วยเจ้าหน้าทีธุรการ</t>
  </si>
  <si>
    <t>จ้างเหมาบริการจัดทำแผนที่ภาษีฯ</t>
  </si>
  <si>
    <t>จ้างเหมาบริการผู้ช่วยจัดทำแผนที่ภาษีฯ</t>
  </si>
  <si>
    <t>เคหะและชุมชน</t>
  </si>
  <si>
    <t>บริหารงานทั่วไปฯ</t>
  </si>
  <si>
    <t>การศึกษา</t>
  </si>
  <si>
    <t>สาธารณสุข</t>
  </si>
  <si>
    <t>สังคมสงเคราะห์</t>
  </si>
  <si>
    <t>ค่าวัสดุ</t>
  </si>
  <si>
    <t>วัสดุ(อาหารเสริมนม)</t>
  </si>
  <si>
    <t>อาหารเสริม(นม)ให้แก่โรงเรียนและศพด.</t>
  </si>
  <si>
    <t>ค่าครุภัณฑ์</t>
  </si>
  <si>
    <t>ค่าที่ดินและสิ่งก่อสร้าง</t>
  </si>
  <si>
    <t>งบกลาง</t>
  </si>
  <si>
    <t>เคหะและชมชน</t>
  </si>
  <si>
    <t>เงินประกันสัญญา</t>
  </si>
  <si>
    <t>ภาษีหัก ณ ที่จ่าย</t>
  </si>
  <si>
    <t>ค่าใช้จ่ายภาษีบำรุงท้องที่  5%</t>
  </si>
  <si>
    <t>ส่วนลดภาษีบำรุงท้องที่  6%</t>
  </si>
  <si>
    <t>เงินเศรษฐกิจชุมชน</t>
  </si>
  <si>
    <t>กองทุนหมุนเวียน (ปุ๋ยเคมี)</t>
  </si>
  <si>
    <t>ค่าบริการทางการแพทย์</t>
  </si>
  <si>
    <t>รับจริงสูงกว่าจ่ายจริง</t>
  </si>
  <si>
    <t>บวก</t>
  </si>
  <si>
    <t>รายรับจริงสูงกว่ารายจ่ายจริงหลังหักเงินทุนสำรองเงินสะสม</t>
  </si>
  <si>
    <t>หัก</t>
  </si>
  <si>
    <t>จ่ายขาดเงินสะสม</t>
  </si>
  <si>
    <t>เงินสะสมที่สามารถนำไปใช้ได้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</si>
  <si>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</si>
  <si>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</si>
  <si>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</si>
  <si>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</si>
  <si>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ที่ได้รับอนุมัติ</t>
  </si>
  <si>
    <t>ที่ดินและ</t>
  </si>
  <si>
    <t>ค่าก่อสร้างสิ่งสาธารณูปโภค</t>
  </si>
  <si>
    <t>จำนวนเงินที่ได้รบอนุมัติ</t>
  </si>
  <si>
    <t>รายงานรายจ่ายในการดำเนินงานที่จ่ายจากเงินรายจ่ายตามแผนงาน งบกลาง</t>
  </si>
  <si>
    <t>ตั้งแต่วันที่ 1  ตุลาคม 2557 ถึง 30 กันยายน  2558</t>
  </si>
  <si>
    <t>งบ</t>
  </si>
  <si>
    <t>ประมาณการ</t>
  </si>
  <si>
    <t>รายงานรายจ่ายในการดำเนินงานที่จ่ายจากเงินรายจ่ายตามแผนงาน บริหารงานทั่วไป</t>
  </si>
  <si>
    <t>งานวางแผนสถิติและ</t>
  </si>
  <si>
    <t>วิชาการ</t>
  </si>
  <si>
    <t>งบบุคลากร</t>
  </si>
  <si>
    <t>เงินเดือน(การเมือง)</t>
  </si>
  <si>
    <t>เงินเดือน(ประจำ)</t>
  </si>
  <si>
    <t>อุดหนุนระบุวัตถประสงค์</t>
  </si>
  <si>
    <t>งบดำเนินงาน</t>
  </si>
  <si>
    <t>ค่าตอบแทน</t>
  </si>
  <si>
    <t>ค่าสาธารณูปโภค</t>
  </si>
  <si>
    <t>งบลงทุน</t>
  </si>
  <si>
    <t>ค่าที่ดินและสิ่งกิอสร้าง</t>
  </si>
  <si>
    <t>เงินอุดหนุน</t>
  </si>
  <si>
    <t>รายงานรายจ่ายในการดำเนินงานที่จ่ายจากเงินรายจ่ายตามแผนงาน รักษาความสงบ</t>
  </si>
  <si>
    <t>งานเทศกิจ</t>
  </si>
  <si>
    <t>งานป้องกันฝ่ายพลเรือน</t>
  </si>
  <si>
    <t>รักษาความสงบฯ</t>
  </si>
  <si>
    <t>และระงับอัคคีภัย</t>
  </si>
  <si>
    <t>รายงานรายจ่ายในการดำเนินงานที่จ่ายจากเงินรายจ่ายตามแผนงาน การศึกษา</t>
  </si>
  <si>
    <t>งานระดับก่อน</t>
  </si>
  <si>
    <t>งานระดับ</t>
  </si>
  <si>
    <t>งานศึกษา</t>
  </si>
  <si>
    <t>การศึกษาฯ</t>
  </si>
  <si>
    <t>วัยเรียนฯ</t>
  </si>
  <si>
    <t>มัธยม</t>
  </si>
  <si>
    <t>ไม่กำหนดระดับ</t>
  </si>
  <si>
    <t>รายงานรายจ่ายในการดำเนินงานที่จ่ายจากเงินรายจ่ายตามแผนงาน สาธารณสุข</t>
  </si>
  <si>
    <t>งานโรงพยาบาล</t>
  </si>
  <si>
    <t>งานบริการ</t>
  </si>
  <si>
    <t>งานศูนย์บริการ</t>
  </si>
  <si>
    <t>สาธารณสุขฯ</t>
  </si>
  <si>
    <t>รายงานรายจ่ายในการดำเนินงานที่จ่ายจากเงินรายจ่ายตามแผนงาน สังคมสงเคราะห์</t>
  </si>
  <si>
    <t>งานสวัสดิการสังคม</t>
  </si>
  <si>
    <t>สังคมสงเคราะห์ฯ</t>
  </si>
  <si>
    <t>และสังคมสงเคราะห์</t>
  </si>
  <si>
    <t>รายงานรายจ่ายในการดำเนินงานที่จ่ายจากเงินรายจ่ายตามแผนงาน เคหะและชุมชน</t>
  </si>
  <si>
    <t>งานไฟฟ้าถนน</t>
  </si>
  <si>
    <t>งานจำกัดขยะมูลฝอย</t>
  </si>
  <si>
    <t>งานบำบัด</t>
  </si>
  <si>
    <t>สวนสาธารณะ</t>
  </si>
  <si>
    <t>และสิ่งปฏิกูล</t>
  </si>
  <si>
    <t>น้ำเสีย</t>
  </si>
  <si>
    <t>บริหารงานทั่วไปเกี่ยวกับการสร้าง</t>
  </si>
  <si>
    <t>งานส่งเสริมและสนับสนน</t>
  </si>
  <si>
    <t>ความเข็มแข็งของชมชน</t>
  </si>
  <si>
    <t>ความเข้มแข็งชมชน</t>
  </si>
  <si>
    <t>รายงานรายจ่ายในการดำเนินงานที่จ่ายจากเงินรายจ่ายตามแผนงาน การเกษตร</t>
  </si>
  <si>
    <t>งานส่งเสริม</t>
  </si>
  <si>
    <t>งานอนุรักษ์แหล่งน้ำ</t>
  </si>
  <si>
    <t>การเกษตร</t>
  </si>
  <si>
    <t>และป่าไม้</t>
  </si>
  <si>
    <t>รายงานรายจ่ายในการดำเนินงานที่จ่ายจากเงินรายจ่ายตามแผนงานรวม</t>
  </si>
  <si>
    <t>บริหารงาน</t>
  </si>
  <si>
    <t>การรักษา</t>
  </si>
  <si>
    <t>สังคมสงเคราะ</t>
  </si>
  <si>
    <t>เคหะและ</t>
  </si>
  <si>
    <t>สร้างความ</t>
  </si>
  <si>
    <t xml:space="preserve">ศาสนา </t>
  </si>
  <si>
    <t>อตรสาหกรรม</t>
  </si>
  <si>
    <t>การพาณิชน์</t>
  </si>
  <si>
    <t>ความสงบ</t>
  </si>
  <si>
    <t>ชมชน</t>
  </si>
  <si>
    <t>เข็มแข็งชุมชน</t>
  </si>
  <si>
    <t>วัฒนธรรมฯ</t>
  </si>
  <si>
    <t>และการโยธา</t>
  </si>
  <si>
    <t>รายงานรายจ่ายในการดำเนินงานที่จ่ายจากเงินรายจ่ายจากเงินสะสม</t>
  </si>
  <si>
    <t>รายงานรายจ่ายในการดำเนินงานที่จ่ายจากเงินรายจ่ายจากเงินสำรองเงินสะสม</t>
  </si>
  <si>
    <t>งบแสดงผงการดำเนินงานจ่ายจากเงินรายรับ</t>
  </si>
  <si>
    <t>รารยการ</t>
  </si>
  <si>
    <t>รายจ่าย</t>
  </si>
  <si>
    <t>รวมรายจ่าย</t>
  </si>
  <si>
    <t>รายรับ</t>
  </si>
  <si>
    <t>หมวดภาษีอากร</t>
  </si>
  <si>
    <t>หมวดค่า ธรรมเนียมค่าปรับและใบอนญาต</t>
  </si>
  <si>
    <t>หมวดรายจากทรัพย์สิน</t>
  </si>
  <si>
    <t>หมวดรายได้เบ็ดเตล็ด</t>
  </si>
  <si>
    <t>หมวดรายได้จากทุน</t>
  </si>
  <si>
    <t>หมวดภาษีจัดสรร</t>
  </si>
  <si>
    <t>หมวดเงินอุดหนุนทั่วไป</t>
  </si>
  <si>
    <t>รวมรายรับ</t>
  </si>
  <si>
    <t>โอนงบประมาณ</t>
  </si>
  <si>
    <t>รายงานรายจ่ายในการดำเนินงานที่จ่ายจากเงินรายจ่ายตามแผนงาน ศาสนา วัฒนธรรมและนันทนาการ</t>
  </si>
  <si>
    <t>งานกีฬาและ</t>
  </si>
  <si>
    <t>งานศาสนาและ</t>
  </si>
  <si>
    <t>งานวิชาการและ</t>
  </si>
  <si>
    <t>เกี่ยวกับศาสนาฯ</t>
  </si>
  <si>
    <t>นันทนาการ</t>
  </si>
  <si>
    <t>วัฒนธรรมท้อถิ่น</t>
  </si>
  <si>
    <t>ส่งเสริมการท่องเที่ยว</t>
  </si>
  <si>
    <t>รายได้จากรัฐบาลค้างรับ</t>
  </si>
  <si>
    <t>องค์การบริหารส่วนตำบลควนสตอ อำเภอควนโดน  จังหวัดสตูล</t>
  </si>
  <si>
    <t>หมายเหตุ ประกอบงบการแสดงฐานะการเงิน</t>
  </si>
  <si>
    <t>ข้อมูลทั่วไป</t>
  </si>
  <si>
    <t>องค์การบริหารส่วนตำบลควนสตอ เป็นหน่วยงานองค์กรปกครองส่วนท้องถิ่น ยกฐานะจากสภาตำบล</t>
  </si>
  <si>
    <t>ขึ้นเป็นองค์การบริหารส่วนตำบล  ตามประกาศกระทรวงมหาดไทย เรื่องการจัดตั้งองค์การบริหารส่วนตำบล</t>
  </si>
  <si>
    <t>ลงวันที่ 16 ธันวาคม 2539 โดยมีผลบังคับใช้เมื่อวันที่ 23  กุมภาพันธ์  2540</t>
  </si>
  <si>
    <t xml:space="preserve">ตั้งอยู่  หมู่ที่ 6  ตำบลควนสตอ  อำเภอควนโดน  จังหวัดสตูล 91160  </t>
  </si>
  <si>
    <t>หมายเลขโทรศัพท์ 074-735345  มีประชากรทั้งสิ้น  7,964  คน  แยกเป็น ผู้ชาย 3,905 คน และ</t>
  </si>
  <si>
    <t>ผู้หญิง 4,059 คน  แบ่งเป็น 10  หมู่บ้าน  หมู่ที่ 1 - 10 มีพื้นที่รับผิดชอบทั้งหมด  36  ตารางกิโลเมตร</t>
  </si>
  <si>
    <t>ส่วนโครงสร้างการบริหารงานขององค์การบริหารส่วนตำบลควนสตอ แบ่งหน่วยงานย่อยเป็น 6 หน่วยงาน</t>
  </si>
  <si>
    <t>คือ</t>
  </si>
  <si>
    <t>1. สำนักปลัด  รับผิดชอบงานบริหารงานบคคล  งานกิจการสภา อบต. งานงบประมาณ งานส่งเสริม</t>
  </si>
  <si>
    <t>การท่องเที่ยว  งานนิติกรและกฏหมาย  งานธุรการกลาง โดยมี นายมานะ  ด่านเท่ง  เป็น หัวหน้าสำนักปลัด</t>
  </si>
  <si>
    <t>2. กองคลัง  รับผิดชอบงานการเงินและบัญชี  งานพัสดุ งานจัดเก็บรายได้และพัฒนารายได้</t>
  </si>
  <si>
    <t>งานแผนที่ภาษีและทะเบียนทรัพย์สิน  โดยมี  นายสูดีมัน  ยูโซ๊ะ  เป็น ผู้อำนวยการกองคลัง</t>
  </si>
  <si>
    <t>3. กองช่าง  รับผิดชอบดูแลงานกิจการสาธารณูปโภค (ไฟฟ้า ประปา) งานโครงสร้างพื้นฐาน  สำรวจ</t>
  </si>
  <si>
    <t>ออกแบบ  และควบคุมงานก่อสร้าง  โดยมี  ส.ต.ต.ธวัชชัย  ปีมะสาร  เป็น ผู้อำนวยการกองช่าง</t>
  </si>
  <si>
    <t>4. กองการศึกษา ศาสนา และวัฒนธรรม  รับผิดชอบ ศูนย์พัฒนาเด็กเล็กในตำบลควนสตอทั้งหมด</t>
  </si>
  <si>
    <t>6. ส่วนสวัสดิการสังคมและการเกษตร  รับผิดชอบดูแลงานสังคมสงเคราะห์ผู้สูงอายุ คนพิการ ผู้ป่วยเอดส์</t>
  </si>
  <si>
    <t>ผู้ด้อยโอกาส  งานเสริมสร้างพัฒนาคุณภาพชีวิต  งานส่งเสริมอาชีพ  โดยมี นางสาวสะฝียะ  หมุดบินสัน</t>
  </si>
  <si>
    <t>เป็นหัวหน้าส่วน</t>
  </si>
  <si>
    <t>หมายเหตุ 1 นโยบายการบัญชีที่สำคัญ</t>
  </si>
  <si>
    <t>1.1  หลักเกณฑ์ในการจัดทำงบแสดงฐานะการเงิน</t>
  </si>
  <si>
    <t xml:space="preserve">ปฏิบัติงานด้านการเงินและบัญชี ตามระเบียบกระทรวงมหาดไทย ว่าด้วยการรับเงิน </t>
  </si>
  <si>
    <t xml:space="preserve">การเบิกจ่ายเงิน การฝากเงิน การเก็บรักษาเงินแลการตรวจกเงินขององค์กรปกครองส่วนท้องถิ่น พ.ศ. 2547 </t>
  </si>
  <si>
    <t>ฉบับที่ 2 พ.ศ. 2548  และฉบับที่ 3  พ.ศ. 2558</t>
  </si>
  <si>
    <t>การบันทึกบัญชีเพื่อจัดทำงบแสดงฐานะการเงินเป็นไปตามเกณฑ์เงินสดและเกณฑ์คงค้าง</t>
  </si>
  <si>
    <t>รายงานการเงินขององค์กรปกครองส่วนท้องถิ่น เมื่อวันที่ 20 มีนาคม พ.ศ. 2558 และหนังสือสั่งการที่เกี่ยวข้อง</t>
  </si>
  <si>
    <t>1.2 รายการเปิดเผยอื่นใด  - ไม่มี  -</t>
  </si>
  <si>
    <t>5. กองสาธารณสุข รับผิดชอบดูแลงานสาธารณสุขชุมชน และสิ่งแวดล้อม โดยมี นายคอเหลด  นาฮับผล</t>
  </si>
  <si>
    <t>เป็น ผู้อำนวยการกองสาธารณสุข</t>
  </si>
  <si>
    <t>งานส่งเสริมวัฒนธรรมและประเพณีท้องถิ่น  งานส่งเสริมกีฬาและนันทนาการ</t>
  </si>
  <si>
    <t>ตามประกาศกระทรวงมหาดไทย เรื่อง หลักเกณฑ์และวิธีปฏิบัติการบันทึกบัญชี การจัดทำทะเบียน และ</t>
  </si>
  <si>
    <t>เจ้าหนี้เงินสะสม</t>
  </si>
  <si>
    <t xml:space="preserve">หมายเหตุ   ประกอบงบแสดงผลการดำเนินงาน </t>
  </si>
  <si>
    <t>หมายเหตุ  1</t>
  </si>
  <si>
    <t>1.ครุภัณฑ์สำนักงาน</t>
  </si>
  <si>
    <t>บาท</t>
  </si>
  <si>
    <t>2.ครุภัณฑ์คอมพิวเตอร์</t>
  </si>
  <si>
    <t>หมายเหตุ 2</t>
  </si>
  <si>
    <t xml:space="preserve">หมายเหตุ   ประกอบงบแสดงผลการดำเนินงาน   </t>
  </si>
  <si>
    <t>เงินอุดหนุนจากกรมส่งเสริมการปกครองส่วนท้องถิ่น</t>
  </si>
  <si>
    <t>เงินอุดหนุนจากสำนักงานพัฒนาสังคมจังหวัดสตูล</t>
  </si>
  <si>
    <t xml:space="preserve"> </t>
  </si>
  <si>
    <t xml:space="preserve">หมายเหตุ ประกอบงบแสดงฐานะการเงิน </t>
  </si>
  <si>
    <t>ประเภทก่อสร้าง</t>
  </si>
  <si>
    <t>จ้างเหมาบริการคนขับรถรถน้ำเอนกประสงค์</t>
  </si>
  <si>
    <t>จ้างเหมาบริการผู้ช่ายเจ้าหน้าที่บันทึกข้อมูล</t>
  </si>
  <si>
    <t>กาศึกษา</t>
  </si>
  <si>
    <t>จ้างเหมาบริการ ผช.จนท.ธุรการ</t>
  </si>
  <si>
    <t>จ้างเหมาบริการ ผช.จนท.สันทนาการ</t>
  </si>
  <si>
    <t>จ้างเหมาบริการ คนงานทั่วไป</t>
  </si>
  <si>
    <t>กำจัดขยะมูลผอยฯ</t>
  </si>
  <si>
    <t>จ้างเหมาบริการคนขับรถขยะ อบต.</t>
  </si>
  <si>
    <t>จ้างเหมาบริการจัดเก็บขยะ</t>
  </si>
  <si>
    <t>จ้างเหมาบริการ ผช. จนท.บันทึกข้อมูล กองสาธารณสุข</t>
  </si>
  <si>
    <t>จ้างเหมาบริการ ผช. จนท.บันทึกข้อมูลกองสวัสดิการฯ</t>
  </si>
  <si>
    <t>จ้างเหมาบริการช่างซ่อมแซมไฟฟ้า</t>
  </si>
  <si>
    <t>เงินรอคืนจังหวัด</t>
  </si>
  <si>
    <t>ตั้งแต่วันที่ 1  ตุลาคม 2558 ถึง 30 กันยายน  2559</t>
  </si>
  <si>
    <t>หมายเหตุ 3</t>
  </si>
  <si>
    <t>ลูกหนี้ค่าภาษีบำรุงท้องที่</t>
  </si>
  <si>
    <t>หมายเหตุ 2 เงินสดและเงินฝากธนาคาร</t>
  </si>
  <si>
    <r>
      <t>หัก</t>
    </r>
    <r>
      <rPr>
        <sz val="14"/>
        <rFont val="TH SarabunPSK"/>
        <family val="2"/>
      </rPr>
      <t xml:space="preserve">  25%  ของรายรับจริงสูงกว่ารายจ่ายจริง </t>
    </r>
  </si>
  <si>
    <t>ปี 2557-2558</t>
  </si>
  <si>
    <t xml:space="preserve">ปรับปรุงเพิ่มยอดลูกหนี้ภาษีบำรุงท้องที่ เนื่องจากไม่ได้บันทึกลูกหนี้ภาษีบำรุงท้องที่ </t>
  </si>
  <si>
    <t>สังคม</t>
  </si>
  <si>
    <t>สงเคราะห์</t>
  </si>
  <si>
    <t>ค่าครุภัณฑ์ (หมายเหตุ 1)</t>
  </si>
  <si>
    <t>ค่าที่ดินและสิ่งกิอสร้าง (หมายเหตุ 3)</t>
  </si>
  <si>
    <t>ค่าที่ดินและสิ่งกิอสร้าง (หมายเหตุ 4)</t>
  </si>
  <si>
    <t>รับเงินอุดหนุนระบุวัตถุประสงค์/อุดหนุนเฉพาะกิจ</t>
  </si>
  <si>
    <t>ค่าครุภัณฑ์  (จ่ายจากเงินรายรับ)</t>
  </si>
  <si>
    <t>ค่าที่ดินและสิ่งก่อสร้าง   (จ่ายจากเงินรายรับ)</t>
  </si>
  <si>
    <t>ค่าที่ดินและสิ่งก่อสร้าง (จ่ายจากเงินอุดหนุนเฉพาะกิจ)</t>
  </si>
  <si>
    <t>ธ.อิสลามแห่งประเทศไทย ประเภท ออมทรัพย์</t>
  </si>
  <si>
    <t>สำหรับปี สิ้นสุดวันที่ 29  กันยายน  2560</t>
  </si>
  <si>
    <t>จ้างเหมาบริการคนงานทั่วไป</t>
  </si>
  <si>
    <t>ระดับก่อนวัยเรียนและ</t>
  </si>
  <si>
    <t>ประถมวัย</t>
  </si>
  <si>
    <t>เงินเดือน</t>
  </si>
  <si>
    <t>เงินเดือนผู้ดูแลเด็ก</t>
  </si>
  <si>
    <t>ค่าตอบแทนผู้ดูแลด็ก</t>
  </si>
  <si>
    <t>ไฟฟ้าและถถนน</t>
  </si>
  <si>
    <t>โครงการบุกเบิกถนนสายดาสันอุทิศ 1 หมู่ที่ 3</t>
  </si>
  <si>
    <t>โครงการบุกเบิกถนนสายตาดีกา-ท่าพรุ หมู่ที่ 2</t>
  </si>
  <si>
    <t>โครงการบุกเบิกถนนสายทุ่งออก หมู่ที่ 1</t>
  </si>
  <si>
    <t>เฉพาะกิจ</t>
  </si>
  <si>
    <t>โครงการปรับปรุงสนามกีฬากลางอำเภอควนโดน</t>
  </si>
  <si>
    <t>หมู่ที่ 4 ตำบลควนสตอ</t>
  </si>
  <si>
    <t>เงินรับฝากอื่น(เงินรอคืนจังหวัด)</t>
  </si>
  <si>
    <t>เงินสะสม 1 ตุลาคม 2559</t>
  </si>
  <si>
    <t>เงินสะสม 29 กันยายน 2560</t>
  </si>
  <si>
    <t>เงินสะสม 29 กันยายน 2560 ประกอบด้วย</t>
  </si>
  <si>
    <t>ปรับปรุงเพิ่มยอดลูกหนี้ภาษีบำรุงท้องที่ เนื่องจากมีการคำนวนภาษีผิดพลาด ปี 2557-2558</t>
  </si>
  <si>
    <t>รับคืนเงินเหลือจ่ายโครงการอาหารกลางวัน ปีงบประมาณ  2559</t>
  </si>
  <si>
    <t>รับคืนงินโครงการกิจกรรมผู้สูงอายุ ปี 2559</t>
  </si>
  <si>
    <t>รับคืนเงินโครงการเพิ่มประสิทธิภาพการการป้องกันและแก้ไชปัญหายาเสพติด จ.สตูล</t>
  </si>
  <si>
    <t>ปรับปรุงลดลูกหนี้ภาษีบำรุงท้องที่  เนื่องจากคำนวนภาษีผิดพลาด</t>
  </si>
  <si>
    <t>ปรับปรุงลดลูกหนี้ภาษีบำรุงท้องที่  เนื่องจากมีการประเมินภาษีซ้ำ</t>
  </si>
  <si>
    <t>ปรับปรุงลดลูกหนี้ภาษีบำรุงท้องที่  เนื่องจากรับชำระหนี้แล้ว แต่ยังไม่ตัดลูกหนี้ปี 2558</t>
  </si>
  <si>
    <t>สิ่งก่อสร้าง</t>
  </si>
  <si>
    <t>โครการก่อสร้างถนน ค.ส.ล.สายทุ่งยาง หมูที่ 2</t>
  </si>
  <si>
    <t>โครงการก่อสร้างถนน ค.ส.ล.สายกลางบ้านชื่อมต่อ</t>
  </si>
  <si>
    <t>ประตูลม หมู่ที่ 3</t>
  </si>
  <si>
    <t>โครการก่อสร้างถนน ค.ส.ล.สายเกาะเปลว หมู่ที่ 1เชื่อมต่อ</t>
  </si>
  <si>
    <t>ข้ามัสยิด หมู่ที่.1</t>
  </si>
  <si>
    <t>โครงการก่อสร้างถนน ค.ส.ล.สายโคกโหนด หมู่ที่ 4</t>
  </si>
  <si>
    <t>โครงการก่อสร้างถนน ค.ส.ล. สายปากวัง หมู่ที่ 5</t>
  </si>
  <si>
    <t>โครงการก่อสร้างถนน ค.ส.ล. สายเกิดใหม่ หมู่ที่ 10</t>
  </si>
  <si>
    <t>โครงการติดตั้งโคมไฟฟ้าสาธารณะภายในตำบล หมู่ที่1-10</t>
  </si>
  <si>
    <t>หมายเหตุ 5  ลูกหนี้เงินทุนเศรษฐกิจชุมชน</t>
  </si>
  <si>
    <t>ชื่อ - สกุล ผู้ยืม</t>
  </si>
  <si>
    <t>โครงการที่ยืม</t>
  </si>
  <si>
    <t>ลำดับ</t>
  </si>
  <si>
    <t>นายฮาแมน  เบ็ญหมีน</t>
  </si>
  <si>
    <t>เลขที่สัญญาเงินกู้ที่  3/2544 (กลุ่มปลูผักสวนครัว ม.10)</t>
  </si>
  <si>
    <t>นายยาฝาด  สาและ</t>
  </si>
  <si>
    <t>เลขที่สัญญาเงินกู้ที่  15/2544 (กลุ่มเลี้ยปลาดุก  ม.4)</t>
  </si>
  <si>
    <t>นายรอสีดี  นุ่งอาหลี</t>
  </si>
  <si>
    <t>เลขที่สัญญาเงินกู้ที่  2/2545  (กลุ่มเลี้ยงแพะ  ม.8)</t>
  </si>
  <si>
    <t>นายสัยนุนอามิดีน มิลาอาบู</t>
  </si>
  <si>
    <t>เลขที่สัญญาเงินกู้ที่  1/2545  (กลุ่มเลี้ยงไก่พื้นเมือง  ม.4)</t>
  </si>
  <si>
    <t>นายสุรชาติ  ตาเดอิน</t>
  </si>
  <si>
    <t xml:space="preserve">นายอับดุลรอศักดิ์ น้อยประดู่ </t>
  </si>
  <si>
    <t>เลขที่สัญญาเงินกู้ที่  3/2545  (กลุ่มเลี้ยงปลาดุก ม.9)</t>
  </si>
  <si>
    <t>นายอาเบต  เกปัน</t>
  </si>
  <si>
    <t>นายอารีย์  หลีเยาว์</t>
  </si>
  <si>
    <t>เลขที่สัญญาเงินกู้ที่  2/2558  (กลุ่มเลี้ยงแพะ  ม.2)</t>
  </si>
  <si>
    <t>เลขที่สัญญาเงินกู้ที่  1/2547  (กลุ่มปลูกผักปลอดสารพิษ ม.7)</t>
  </si>
  <si>
    <t>เลขที่สัญญาเงินกู้ที่  4/2547  (กลุ่มซ่อมรถจักรยานยนต์ ม.8)</t>
  </si>
  <si>
    <t>นายมาหมาด  ตั้งใหม่</t>
  </si>
  <si>
    <t>เลขที่สัญญาเงินกู้ที่  5/2547  (กลุ่มส่งเสริมอาชีพเลี้ยงแพะ ม.1)</t>
  </si>
  <si>
    <t>นายพรหมมศ  วงศ์ศรีทอง</t>
  </si>
  <si>
    <t>เลขที่สัญญาเงินกู้ที่  1/2551  (กลุ่มเลี้ยงปลาดุก  ม.9)</t>
  </si>
  <si>
    <t>เลขที่สัญญาเงินกู้ที่  2/2551  (กลุ่มเลี้ยงแพะ  ม.5)</t>
  </si>
  <si>
    <t>นายอับดุลเลาะห์  บูเดียะ</t>
  </si>
  <si>
    <t>นายมะสัน  บิลาอาบู</t>
  </si>
  <si>
    <t>เลขที่สัญญาเงินกู้ที่  1/2555  (กลุ่มเลี้ยงโคพื้นเมือง ม.2)</t>
  </si>
  <si>
    <t>นายอุสมาน  มันเละ</t>
  </si>
  <si>
    <t>เลขที่สัญญาเงินกู้ที่  1/2556  (กลุ่มทำกระถางปูนปั้น ม.10)</t>
  </si>
  <si>
    <t>นายบาเหรน  เกปัน</t>
  </si>
  <si>
    <t>เลขที่สัญญาเงินกู้ที่  1/2557  (กลุ่มปลูกมะนาวในท่อซีเมน ม.7)</t>
  </si>
  <si>
    <t>นายชนิษฐา  คงแก้ว</t>
  </si>
  <si>
    <t>เลขที่สัญญาเงินกู้ที่  2/2557  (กลุ่มวิสาหกิจ ผลิตภัณฑ์เกษตร</t>
  </si>
  <si>
    <t xml:space="preserve">ปลอดภัย </t>
  </si>
  <si>
    <t>นายรอหนี  จังแดหวา</t>
  </si>
  <si>
    <t>เลขที่สัญญาเงินกู้ที่  1/2558  (กลุ่มเลี้ยงโคพื้นเมือง ม.1)</t>
  </si>
  <si>
    <t>นายอิบรอเหม  วัดเส็น</t>
  </si>
  <si>
    <t>เลขที่สัญญาเงินกู้ที่  1/2559  (กลุ่มวิสาหกิจกรุ่มเลี้ยงเป็ดเทศ ม.6)</t>
  </si>
  <si>
    <t>นางรอเฝี่ยะ  เบ็ญหมีน</t>
  </si>
  <si>
    <t>เลขที่สัญญาเงินกู้ที่  2/2559  (กลุ่มผลิตภัณฑ์ข้าวซ้อมมือ ม.10)</t>
  </si>
  <si>
    <t>หมายเหตุ 6  รายจ่ายค้างจ่าย</t>
  </si>
  <si>
    <t>หมายเหตุ 7 เงินรับฝาก</t>
  </si>
  <si>
    <t>และจะเบิกจ่ายในปีงบประมาณต่อไป ตามรายละเอียดแนบท้ายหมายเหตุ 7</t>
  </si>
  <si>
    <t>หมายเหตุ  8  เงินสะสม</t>
  </si>
  <si>
    <t>สำหรับปี สิ้นสุดวันที่   29  กันยายน 2560</t>
  </si>
  <si>
    <t>หมายเหตุ  9  เงินทุนสำรองเงินสะสม</t>
  </si>
  <si>
    <t>หมายเหตุ</t>
  </si>
  <si>
    <t>ทรัพย์สินตามงบทรัพย์สิน</t>
  </si>
  <si>
    <t>สินทรัพย์</t>
  </si>
  <si>
    <t>สินทรัพย์หมุนเวียน</t>
  </si>
  <si>
    <t>เงินสดและเงินฝากธนาคาร</t>
  </si>
  <si>
    <t>ลูกหนี้เงินยืม</t>
  </si>
  <si>
    <t>ลูกหนี้เงินทุนโครงการเศรษฐกิจชมชน</t>
  </si>
  <si>
    <t>ลูกหนี้เงินสะสม</t>
  </si>
  <si>
    <t>ทรัพย์สินหมนเวียนอื่น</t>
  </si>
  <si>
    <t>รวมสินทรัพย์หมุนเวียน</t>
  </si>
  <si>
    <t>สินทรัพย์ไม่หมุนเวียน</t>
  </si>
  <si>
    <t>สินทรัพย์ไม่หมุนเวียนอื่น</t>
  </si>
  <si>
    <t>รวมสินทรัพย์ไม่หมุนเวียนหมุนเวียน</t>
  </si>
  <si>
    <t>รวมสินทรัพย์</t>
  </si>
  <si>
    <t>สำหรับปี สิ้นสุดวันที่ 29 กันยายน  2560</t>
  </si>
  <si>
    <t>ตั้งแต่วันที่ 1  ตุลาคม 2559 ถึง 29 กันยายน  2560</t>
  </si>
  <si>
    <t>เงินอุดหนุนเฉพาะกิจ</t>
  </si>
  <si>
    <t>รายงานรายจ่ายในการดำเนินงานที่จ่ายจากเงินรายจ่ายตามแผนงาน สร้างความเข็มแข็ง</t>
  </si>
  <si>
    <t>.</t>
  </si>
  <si>
    <t>ตั้งแต่วันที่ 1  ตุลาคม 2559 ถึง 30 กันยายน  2560</t>
  </si>
  <si>
    <t>ค่าที่ดินและสิ่งกิอสร้าง (หมายเหตุ 2)</t>
  </si>
  <si>
    <t>หมวดเงินอุดหนุนระบุวัตถุประสงค์/เฉพาะกิจ(หมายเหตุ 4)</t>
  </si>
  <si>
    <t>ทั้งนี้ในปีงบประมาณ  2560  ได้รับอนุมัติให้จ่ายเงินสะสมที่อยู่ระหว่างดำเนินการจำนวน  3,892,600.- บาท</t>
  </si>
  <si>
    <t xml:space="preserve">หมายเหตุ   1 งบทรัพย์สิน </t>
  </si>
  <si>
    <t>ณ วันที่ 29  กันยายน  2560</t>
  </si>
  <si>
    <t>เบี้ยยังชีพคนพิการ</t>
  </si>
  <si>
    <t>เครื่องถ่ายเอกสาร  ชาร์ป  AR-6120  ระบบมัลติฟังชั่น</t>
  </si>
  <si>
    <t>เก้าอี้ทำงานพนักพิงต่ำ บุนวม ขาอลูมิเนียม 4 ตัว</t>
  </si>
  <si>
    <t>โต๊ะขาพับอนกประสงค์ ขนาด 15X75X73 ซม.</t>
  </si>
  <si>
    <t>เครื่องพิมพ์ Canon รุ่น ix6770 แบบฉีดหมึก ขนาด A3</t>
  </si>
  <si>
    <t>โครงการก่อสร้างอาคารที่ทำการ อบต.ควนสตอ (ระยะที่ 3)</t>
  </si>
  <si>
    <t>โครงการปรับปรุงสนามกีฬากลางอำเภอควนโดน หมู่ที่ 4 ตำบลควนสตอ</t>
  </si>
  <si>
    <t>โครงการบุกเบิกถนนสายเหนือเขานุ้ย หมู่ที่ 4</t>
  </si>
  <si>
    <t>โครงการบุกเบิกถนนสายวังกระบือ หมู่ที่ 5</t>
  </si>
  <si>
    <t>โครงการก่อสร้างถนนคอนกรีตเสริมเหล็กสายศูนย์พัฒนาเด็กเล็ก ม.2</t>
  </si>
  <si>
    <t>โครงการก่อสร้างถนนคอนกรีตเสริมเหล็กสายซอยมณีหยัน หมู่ที่ 8</t>
  </si>
  <si>
    <t>โครงกาก่อสร้างถนนคอนกรีตเสริมเหล็กสายซอยบ้านมูอีด หมู่ที่ 10</t>
  </si>
  <si>
    <t>โครงการก่อสร้างถนนคอนกรีตเสริมเหล็กสายซอยประเสริฐ หมู่ที่ 7</t>
  </si>
  <si>
    <t>โครงการก่อสร้างถนนคอนกรีตเสริมเหล็กสายซอยราษฎร์อุทิศ 4(บ่อดิน)</t>
  </si>
  <si>
    <t>1.10</t>
  </si>
  <si>
    <t>โครงการก่อสร้างถนนคอนกรีตเสริมเหล็กสายถ้ำลาหอย หมู่ที่ 6</t>
  </si>
  <si>
    <t>1.11</t>
  </si>
  <si>
    <t>โครงการก่อสร้างถนนคอนกรีตเสริมเหล็กสายบ้านกลาง-ฃลประทาน หมู่ที่ 9</t>
  </si>
  <si>
    <t>โครงการปรับปรุงก่อสร้างถนนพาราแอสผัลติกท์คอนกรีตถนนสาย</t>
  </si>
  <si>
    <t>วังตาหงา หมู่ที่ 5 บ้านทางงอ</t>
  </si>
  <si>
    <t>1.12</t>
  </si>
  <si>
    <t>1.13</t>
  </si>
  <si>
    <t>1.14</t>
  </si>
  <si>
    <t>เงินอุดหนุนจากองค์การบริหารส่วนจังหวัดสตูล</t>
  </si>
  <si>
    <t>เงินอุดหนุนจากกองทุนฟื้นฟูสมรรถภาพจังหวัดสตูล</t>
  </si>
  <si>
    <t>หมายเหตุ  4</t>
  </si>
  <si>
    <t>หมายเหตุ  3 รายได้จากรัฐบาลค้างรับ</t>
  </si>
  <si>
    <t>หมายเหตุ  4  ลูกหนี้ค่าภาษี</t>
  </si>
  <si>
    <t>รายละเอียดแนบท้ายหมายเหตุ 8 เงินสะสม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</si>
</sst>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00_-;\-* #,##0.000_-;_-* &quot;-&quot;??_-;_-@_-"/>
  </numFmts>
  <fonts count="3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6"/>
      <color indexed="8"/>
      <name val="TH SarabunPSK"/>
      <family val="2"/>
    </font>
    <font>
      <sz val="15"/>
      <color indexed="8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4"/>
      <name val="Cordia New"/>
      <family val="2"/>
    </font>
    <font>
      <sz val="16"/>
      <name val="AngsanaUPC"/>
      <family val="1"/>
      <charset val="22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name val="Tahoma"/>
      <family val="2"/>
      <charset val="222"/>
      <scheme val="minor"/>
    </font>
    <font>
      <b/>
      <sz val="15"/>
      <name val="TH SarabunPSK"/>
      <family val="2"/>
    </font>
    <font>
      <sz val="11"/>
      <name val="Tahoma"/>
      <family val="2"/>
      <charset val="222"/>
      <scheme val="minor"/>
    </font>
    <font>
      <sz val="16"/>
      <name val="TH Niramit AS"/>
    </font>
    <font>
      <sz val="16"/>
      <name val="Angsana New"/>
      <family val="1"/>
    </font>
    <font>
      <b/>
      <sz val="12"/>
      <name val="TH SarabunPSK"/>
      <family val="2"/>
    </font>
    <font>
      <b/>
      <u/>
      <sz val="11"/>
      <name val="TH SarabunPSK"/>
      <family val="2"/>
    </font>
    <font>
      <b/>
      <sz val="11"/>
      <name val="TH SarabunPSK"/>
      <family val="2"/>
    </font>
    <font>
      <b/>
      <sz val="11"/>
      <name val="Tahoma"/>
      <family val="2"/>
      <charset val="222"/>
      <scheme val="minor"/>
    </font>
    <font>
      <b/>
      <u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9" fillId="0" borderId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1" fillId="0" borderId="0"/>
    <xf numFmtId="43" fontId="6" fillId="0" borderId="0" applyFont="0" applyFill="0" applyBorder="0" applyAlignment="0" applyProtection="0"/>
    <xf numFmtId="0" fontId="9" fillId="0" borderId="0"/>
  </cellStyleXfs>
  <cellXfs count="318">
    <xf numFmtId="0" fontId="0" fillId="0" borderId="0" xfId="0"/>
    <xf numFmtId="0" fontId="3" fillId="0" borderId="0" xfId="0" applyFont="1"/>
    <xf numFmtId="43" fontId="3" fillId="0" borderId="0" xfId="1" applyFont="1"/>
    <xf numFmtId="43" fontId="2" fillId="0" borderId="0" xfId="1" applyFont="1"/>
    <xf numFmtId="0" fontId="5" fillId="0" borderId="0" xfId="2" applyFont="1" applyFill="1" applyAlignment="1">
      <alignment horizontal="left"/>
    </xf>
    <xf numFmtId="43" fontId="5" fillId="0" borderId="2" xfId="3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/>
    <xf numFmtId="0" fontId="7" fillId="0" borderId="5" xfId="2" applyFont="1" applyFill="1" applyBorder="1"/>
    <xf numFmtId="43" fontId="7" fillId="0" borderId="5" xfId="3" applyFont="1" applyFill="1" applyBorder="1"/>
    <xf numFmtId="0" fontId="7" fillId="0" borderId="6" xfId="2" quotePrefix="1" applyFont="1" applyBorder="1" applyAlignment="1">
      <alignment horizontal="center"/>
    </xf>
    <xf numFmtId="0" fontId="8" fillId="0" borderId="7" xfId="2" applyFont="1" applyBorder="1"/>
    <xf numFmtId="43" fontId="7" fillId="0" borderId="8" xfId="2" applyNumberFormat="1" applyFont="1" applyFill="1" applyBorder="1"/>
    <xf numFmtId="0" fontId="7" fillId="0" borderId="8" xfId="2" applyFont="1" applyFill="1" applyBorder="1"/>
    <xf numFmtId="43" fontId="7" fillId="0" borderId="8" xfId="3" applyFont="1" applyBorder="1"/>
    <xf numFmtId="0" fontId="7" fillId="0" borderId="7" xfId="2" applyFont="1" applyBorder="1"/>
    <xf numFmtId="43" fontId="7" fillId="0" borderId="8" xfId="3" applyFont="1" applyFill="1" applyBorder="1"/>
    <xf numFmtId="0" fontId="5" fillId="0" borderId="6" xfId="2" applyFont="1" applyFill="1" applyBorder="1" applyAlignment="1">
      <alignment horizontal="center"/>
    </xf>
    <xf numFmtId="0" fontId="5" fillId="0" borderId="7" xfId="2" applyFont="1" applyFill="1" applyBorder="1"/>
    <xf numFmtId="0" fontId="10" fillId="0" borderId="7" xfId="4" applyFont="1" applyBorder="1"/>
    <xf numFmtId="43" fontId="10" fillId="0" borderId="8" xfId="5" applyFont="1" applyBorder="1"/>
    <xf numFmtId="0" fontId="7" fillId="0" borderId="9" xfId="2" quotePrefix="1" applyFont="1" applyBorder="1" applyAlignment="1">
      <alignment horizontal="center"/>
    </xf>
    <xf numFmtId="0" fontId="7" fillId="0" borderId="10" xfId="2" applyFont="1" applyBorder="1"/>
    <xf numFmtId="43" fontId="7" fillId="0" borderId="11" xfId="2" applyNumberFormat="1" applyFont="1" applyFill="1" applyBorder="1"/>
    <xf numFmtId="0" fontId="7" fillId="0" borderId="11" xfId="2" applyFont="1" applyFill="1" applyBorder="1"/>
    <xf numFmtId="43" fontId="7" fillId="0" borderId="11" xfId="3" applyFont="1" applyFill="1" applyBorder="1"/>
    <xf numFmtId="0" fontId="7" fillId="0" borderId="12" xfId="2" quotePrefix="1" applyFont="1" applyFill="1" applyBorder="1" applyAlignment="1">
      <alignment horizontal="center"/>
    </xf>
    <xf numFmtId="0" fontId="5" fillId="0" borderId="13" xfId="2" applyFont="1" applyFill="1" applyBorder="1"/>
    <xf numFmtId="43" fontId="5" fillId="0" borderId="2" xfId="2" applyNumberFormat="1" applyFont="1" applyFill="1" applyBorder="1"/>
    <xf numFmtId="0" fontId="4" fillId="0" borderId="0" xfId="6" applyFont="1"/>
    <xf numFmtId="49" fontId="4" fillId="0" borderId="0" xfId="6" applyNumberFormat="1" applyFont="1"/>
    <xf numFmtId="0" fontId="4" fillId="0" borderId="0" xfId="6" applyFont="1" applyAlignment="1">
      <alignment horizontal="center"/>
    </xf>
    <xf numFmtId="0" fontId="10" fillId="0" borderId="0" xfId="6" applyFont="1" applyAlignment="1">
      <alignment horizontal="center"/>
    </xf>
    <xf numFmtId="43" fontId="10" fillId="0" borderId="0" xfId="1" applyFont="1"/>
    <xf numFmtId="43" fontId="10" fillId="0" borderId="0" xfId="7" applyFont="1"/>
    <xf numFmtId="0" fontId="10" fillId="0" borderId="0" xfId="6" applyFont="1"/>
    <xf numFmtId="49" fontId="10" fillId="0" borderId="0" xfId="6" applyNumberFormat="1" applyFont="1"/>
    <xf numFmtId="0" fontId="10" fillId="0" borderId="0" xfId="0" applyFont="1" applyBorder="1"/>
    <xf numFmtId="49" fontId="10" fillId="0" borderId="0" xfId="0" applyNumberFormat="1" applyFont="1" applyBorder="1"/>
    <xf numFmtId="0" fontId="10" fillId="0" borderId="0" xfId="6" applyFont="1" applyBorder="1"/>
    <xf numFmtId="0" fontId="10" fillId="0" borderId="0" xfId="6" applyFont="1" applyBorder="1" applyAlignment="1">
      <alignment horizontal="center"/>
    </xf>
    <xf numFmtId="0" fontId="10" fillId="0" borderId="0" xfId="8" applyFont="1" applyFill="1" applyBorder="1"/>
    <xf numFmtId="49" fontId="10" fillId="0" borderId="0" xfId="6" applyNumberFormat="1" applyFont="1" applyBorder="1" applyAlignment="1">
      <alignment horizontal="center"/>
    </xf>
    <xf numFmtId="43" fontId="10" fillId="0" borderId="0" xfId="1" applyFont="1" applyBorder="1"/>
    <xf numFmtId="43" fontId="10" fillId="0" borderId="0" xfId="7" applyFont="1" applyBorder="1"/>
    <xf numFmtId="49" fontId="10" fillId="0" borderId="0" xfId="6" applyNumberFormat="1" applyFont="1" applyAlignment="1">
      <alignment horizontal="left"/>
    </xf>
    <xf numFmtId="49" fontId="10" fillId="0" borderId="0" xfId="6" applyNumberFormat="1" applyFont="1" applyAlignment="1">
      <alignment horizontal="center"/>
    </xf>
    <xf numFmtId="43" fontId="4" fillId="0" borderId="1" xfId="7" applyFont="1" applyBorder="1"/>
    <xf numFmtId="43" fontId="4" fillId="0" borderId="1" xfId="1" applyFont="1" applyBorder="1"/>
    <xf numFmtId="43" fontId="4" fillId="0" borderId="5" xfId="1" applyFont="1" applyBorder="1" applyAlignment="1">
      <alignment horizontal="center"/>
    </xf>
    <xf numFmtId="0" fontId="10" fillId="0" borderId="14" xfId="6" applyFont="1" applyBorder="1"/>
    <xf numFmtId="49" fontId="10" fillId="0" borderId="15" xfId="6" applyNumberFormat="1" applyFont="1" applyBorder="1"/>
    <xf numFmtId="0" fontId="10" fillId="0" borderId="16" xfId="6" applyFont="1" applyBorder="1"/>
    <xf numFmtId="0" fontId="10" fillId="0" borderId="17" xfId="6" applyFont="1" applyBorder="1" applyAlignment="1">
      <alignment horizontal="center"/>
    </xf>
    <xf numFmtId="43" fontId="10" fillId="0" borderId="17" xfId="1" applyFont="1" applyBorder="1" applyAlignment="1">
      <alignment horizontal="center"/>
    </xf>
    <xf numFmtId="0" fontId="10" fillId="0" borderId="18" xfId="6" applyFont="1" applyBorder="1"/>
    <xf numFmtId="49" fontId="10" fillId="0" borderId="19" xfId="6" applyNumberFormat="1" applyFont="1" applyBorder="1"/>
    <xf numFmtId="0" fontId="10" fillId="0" borderId="20" xfId="6" applyFont="1" applyBorder="1"/>
    <xf numFmtId="0" fontId="10" fillId="0" borderId="21" xfId="6" applyFont="1" applyBorder="1" applyAlignment="1">
      <alignment horizontal="center"/>
    </xf>
    <xf numFmtId="43" fontId="10" fillId="0" borderId="21" xfId="1" applyFont="1" applyBorder="1"/>
    <xf numFmtId="0" fontId="10" fillId="0" borderId="22" xfId="6" applyFont="1" applyBorder="1"/>
    <xf numFmtId="0" fontId="10" fillId="0" borderId="2" xfId="6" applyFont="1" applyBorder="1" applyAlignment="1">
      <alignment horizontal="center"/>
    </xf>
    <xf numFmtId="0" fontId="4" fillId="0" borderId="0" xfId="2" applyFont="1" applyFill="1" applyAlignment="1">
      <alignment horizontal="center"/>
    </xf>
    <xf numFmtId="43" fontId="2" fillId="0" borderId="2" xfId="1" applyFont="1" applyBorder="1" applyAlignment="1">
      <alignment horizontal="center"/>
    </xf>
    <xf numFmtId="0" fontId="3" fillId="0" borderId="17" xfId="0" applyFont="1" applyBorder="1"/>
    <xf numFmtId="43" fontId="3" fillId="0" borderId="17" xfId="1" applyFont="1" applyBorder="1"/>
    <xf numFmtId="0" fontId="3" fillId="0" borderId="21" xfId="0" applyFont="1" applyBorder="1" applyAlignment="1">
      <alignment horizontal="center"/>
    </xf>
    <xf numFmtId="0" fontId="3" fillId="0" borderId="21" xfId="0" applyFont="1" applyBorder="1"/>
    <xf numFmtId="43" fontId="3" fillId="0" borderId="21" xfId="1" applyFont="1" applyBorder="1"/>
    <xf numFmtId="43" fontId="3" fillId="0" borderId="23" xfId="1" applyFont="1" applyBorder="1"/>
    <xf numFmtId="0" fontId="3" fillId="0" borderId="26" xfId="0" applyFont="1" applyBorder="1"/>
    <xf numFmtId="0" fontId="4" fillId="0" borderId="0" xfId="2" applyFont="1" applyFill="1" applyAlignment="1">
      <alignment horizontal="left"/>
    </xf>
    <xf numFmtId="0" fontId="10" fillId="0" borderId="0" xfId="0" applyFont="1"/>
    <xf numFmtId="0" fontId="11" fillId="0" borderId="0" xfId="2" applyFont="1"/>
    <xf numFmtId="0" fontId="4" fillId="0" borderId="0" xfId="0" applyFont="1"/>
    <xf numFmtId="0" fontId="4" fillId="0" borderId="0" xfId="9" applyFont="1" applyBorder="1" applyAlignment="1">
      <alignment horizontal="left"/>
    </xf>
    <xf numFmtId="0" fontId="4" fillId="0" borderId="0" xfId="9" applyFont="1" applyBorder="1"/>
    <xf numFmtId="0" fontId="10" fillId="0" borderId="0" xfId="9" applyFont="1" applyBorder="1"/>
    <xf numFmtId="43" fontId="10" fillId="0" borderId="0" xfId="10" applyFont="1" applyBorder="1"/>
    <xf numFmtId="43" fontId="10" fillId="0" borderId="0" xfId="9" applyNumberFormat="1" applyFont="1" applyBorder="1"/>
    <xf numFmtId="0" fontId="10" fillId="0" borderId="0" xfId="9" applyFont="1" applyBorder="1" applyAlignment="1">
      <alignment horizontal="center"/>
    </xf>
    <xf numFmtId="43" fontId="4" fillId="0" borderId="24" xfId="10" applyFont="1" applyBorder="1"/>
    <xf numFmtId="43" fontId="4" fillId="0" borderId="1" xfId="10" applyFont="1" applyBorder="1"/>
    <xf numFmtId="0" fontId="2" fillId="0" borderId="5" xfId="0" applyFont="1" applyBorder="1" applyAlignment="1">
      <alignment horizontal="center"/>
    </xf>
    <xf numFmtId="43" fontId="2" fillId="0" borderId="5" xfId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3" fontId="2" fillId="0" borderId="11" xfId="1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43" fontId="3" fillId="0" borderId="25" xfId="1" applyFont="1" applyBorder="1"/>
    <xf numFmtId="43" fontId="3" fillId="0" borderId="21" xfId="1" applyFont="1" applyBorder="1" applyAlignment="1">
      <alignment horizontal="center"/>
    </xf>
    <xf numFmtId="43" fontId="2" fillId="0" borderId="0" xfId="1" applyFont="1" applyAlignment="1"/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25" xfId="0" applyFont="1" applyBorder="1"/>
    <xf numFmtId="0" fontId="14" fillId="0" borderId="5" xfId="0" applyFont="1" applyBorder="1" applyAlignment="1">
      <alignment horizontal="center"/>
    </xf>
    <xf numFmtId="43" fontId="14" fillId="0" borderId="5" xfId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3" fontId="14" fillId="0" borderId="11" xfId="1" applyFont="1" applyBorder="1" applyAlignment="1">
      <alignment horizontal="center"/>
    </xf>
    <xf numFmtId="0" fontId="14" fillId="0" borderId="17" xfId="0" applyFont="1" applyBorder="1"/>
    <xf numFmtId="43" fontId="14" fillId="0" borderId="17" xfId="1" applyFont="1" applyBorder="1"/>
    <xf numFmtId="0" fontId="15" fillId="0" borderId="21" xfId="0" applyFont="1" applyBorder="1"/>
    <xf numFmtId="43" fontId="14" fillId="0" borderId="21" xfId="1" applyFont="1" applyBorder="1"/>
    <xf numFmtId="43" fontId="14" fillId="0" borderId="23" xfId="1" applyFont="1" applyBorder="1"/>
    <xf numFmtId="0" fontId="14" fillId="0" borderId="25" xfId="0" applyFont="1" applyBorder="1"/>
    <xf numFmtId="43" fontId="14" fillId="0" borderId="25" xfId="1" applyFont="1" applyBorder="1"/>
    <xf numFmtId="0" fontId="17" fillId="0" borderId="0" xfId="0" applyFont="1"/>
    <xf numFmtId="0" fontId="18" fillId="0" borderId="0" xfId="0" applyFont="1"/>
    <xf numFmtId="43" fontId="18" fillId="0" borderId="0" xfId="1" applyFont="1"/>
    <xf numFmtId="0" fontId="14" fillId="0" borderId="23" xfId="0" applyFont="1" applyBorder="1"/>
    <xf numFmtId="0" fontId="19" fillId="0" borderId="0" xfId="0" applyFont="1"/>
    <xf numFmtId="0" fontId="14" fillId="0" borderId="0" xfId="0" applyFont="1"/>
    <xf numFmtId="43" fontId="14" fillId="0" borderId="0" xfId="1" applyFont="1"/>
    <xf numFmtId="43" fontId="14" fillId="0" borderId="21" xfId="0" applyNumberFormat="1" applyFont="1" applyBorder="1"/>
    <xf numFmtId="43" fontId="14" fillId="0" borderId="23" xfId="0" applyNumberFormat="1" applyFont="1" applyBorder="1"/>
    <xf numFmtId="43" fontId="14" fillId="0" borderId="25" xfId="0" applyNumberFormat="1" applyFont="1" applyBorder="1"/>
    <xf numFmtId="0" fontId="15" fillId="0" borderId="0" xfId="0" applyFont="1"/>
    <xf numFmtId="43" fontId="15" fillId="0" borderId="0" xfId="1" applyFont="1"/>
    <xf numFmtId="0" fontId="15" fillId="0" borderId="5" xfId="0" applyFont="1" applyBorder="1" applyAlignment="1">
      <alignment horizontal="center"/>
    </xf>
    <xf numFmtId="43" fontId="15" fillId="0" borderId="5" xfId="1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43" fontId="15" fillId="0" borderId="11" xfId="1" applyFont="1" applyBorder="1" applyAlignment="1">
      <alignment horizontal="center"/>
    </xf>
    <xf numFmtId="0" fontId="15" fillId="0" borderId="17" xfId="0" applyFont="1" applyBorder="1"/>
    <xf numFmtId="43" fontId="15" fillId="0" borderId="17" xfId="1" applyFont="1" applyBorder="1"/>
    <xf numFmtId="43" fontId="15" fillId="0" borderId="21" xfId="1" applyFont="1" applyBorder="1"/>
    <xf numFmtId="43" fontId="15" fillId="0" borderId="23" xfId="1" applyFont="1" applyBorder="1"/>
    <xf numFmtId="0" fontId="15" fillId="0" borderId="23" xfId="0" applyFont="1" applyBorder="1"/>
    <xf numFmtId="0" fontId="15" fillId="0" borderId="25" xfId="0" applyFont="1" applyBorder="1"/>
    <xf numFmtId="43" fontId="15" fillId="0" borderId="25" xfId="1" applyFont="1" applyBorder="1"/>
    <xf numFmtId="43" fontId="21" fillId="0" borderId="21" xfId="1" applyFont="1" applyBorder="1"/>
    <xf numFmtId="0" fontId="14" fillId="0" borderId="21" xfId="0" applyFont="1" applyBorder="1"/>
    <xf numFmtId="43" fontId="4" fillId="0" borderId="0" xfId="10" applyFont="1" applyBorder="1"/>
    <xf numFmtId="0" fontId="22" fillId="0" borderId="0" xfId="9" applyFont="1" applyBorder="1" applyAlignment="1">
      <alignment horizontal="center"/>
    </xf>
    <xf numFmtId="0" fontId="22" fillId="0" borderId="0" xfId="9" applyFont="1" applyBorder="1"/>
    <xf numFmtId="43" fontId="23" fillId="0" borderId="0" xfId="10" applyFont="1" applyBorder="1"/>
    <xf numFmtId="43" fontId="22" fillId="0" borderId="0" xfId="10" applyFont="1" applyBorder="1"/>
    <xf numFmtId="0" fontId="23" fillId="0" borderId="0" xfId="2" applyFont="1" applyFill="1" applyAlignment="1">
      <alignment horizontal="left"/>
    </xf>
    <xf numFmtId="0" fontId="23" fillId="0" borderId="0" xfId="2" applyFont="1" applyFill="1" applyAlignment="1">
      <alignment horizontal="center"/>
    </xf>
    <xf numFmtId="43" fontId="23" fillId="0" borderId="0" xfId="1" applyFont="1" applyFill="1" applyAlignment="1">
      <alignment horizontal="center"/>
    </xf>
    <xf numFmtId="0" fontId="4" fillId="0" borderId="5" xfId="6" applyFont="1" applyBorder="1" applyAlignment="1">
      <alignment horizontal="center"/>
    </xf>
    <xf numFmtId="43" fontId="0" fillId="0" borderId="0" xfId="0" applyNumberFormat="1"/>
    <xf numFmtId="0" fontId="24" fillId="0" borderId="0" xfId="0" applyFont="1"/>
    <xf numFmtId="0" fontId="25" fillId="0" borderId="0" xfId="0" applyFont="1"/>
    <xf numFmtId="0" fontId="25" fillId="0" borderId="0" xfId="0" applyFont="1" applyAlignment="1"/>
    <xf numFmtId="0" fontId="5" fillId="0" borderId="0" xfId="2" applyFont="1" applyFill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23" fillId="0" borderId="0" xfId="2" applyFont="1" applyFill="1" applyAlignment="1">
      <alignment horizontal="center"/>
    </xf>
    <xf numFmtId="0" fontId="26" fillId="0" borderId="0" xfId="0" applyFont="1"/>
    <xf numFmtId="43" fontId="26" fillId="0" borderId="0" xfId="1" applyFont="1"/>
    <xf numFmtId="0" fontId="23" fillId="0" borderId="0" xfId="0" applyFont="1"/>
    <xf numFmtId="0" fontId="22" fillId="0" borderId="0" xfId="0" applyFont="1"/>
    <xf numFmtId="43" fontId="22" fillId="0" borderId="0" xfId="1" applyFont="1"/>
    <xf numFmtId="0" fontId="23" fillId="0" borderId="2" xfId="0" applyFont="1" applyBorder="1" applyAlignment="1">
      <alignment horizontal="center"/>
    </xf>
    <xf numFmtId="43" fontId="23" fillId="0" borderId="2" xfId="1" applyFont="1" applyBorder="1" applyAlignment="1">
      <alignment horizontal="center"/>
    </xf>
    <xf numFmtId="0" fontId="22" fillId="0" borderId="17" xfId="0" applyFont="1" applyBorder="1"/>
    <xf numFmtId="0" fontId="22" fillId="0" borderId="21" xfId="0" applyFont="1" applyBorder="1"/>
    <xf numFmtId="43" fontId="22" fillId="0" borderId="21" xfId="1" applyFont="1" applyBorder="1"/>
    <xf numFmtId="0" fontId="22" fillId="0" borderId="27" xfId="0" applyFont="1" applyBorder="1"/>
    <xf numFmtId="0" fontId="22" fillId="0" borderId="21" xfId="0" applyFont="1" applyBorder="1" applyAlignment="1">
      <alignment horizontal="center"/>
    </xf>
    <xf numFmtId="43" fontId="22" fillId="0" borderId="23" xfId="1" applyFont="1" applyBorder="1"/>
    <xf numFmtId="0" fontId="22" fillId="0" borderId="26" xfId="0" applyFont="1" applyBorder="1"/>
    <xf numFmtId="43" fontId="23" fillId="0" borderId="25" xfId="1" applyFont="1" applyBorder="1"/>
    <xf numFmtId="0" fontId="22" fillId="0" borderId="0" xfId="0" applyFont="1" applyBorder="1"/>
    <xf numFmtId="43" fontId="23" fillId="0" borderId="0" xfId="1" applyFont="1" applyBorder="1"/>
    <xf numFmtId="0" fontId="23" fillId="0" borderId="17" xfId="0" applyFont="1" applyBorder="1" applyAlignment="1">
      <alignment horizontal="center"/>
    </xf>
    <xf numFmtId="43" fontId="23" fillId="0" borderId="17" xfId="1" applyFont="1" applyBorder="1" applyAlignment="1">
      <alignment horizontal="center"/>
    </xf>
    <xf numFmtId="0" fontId="22" fillId="0" borderId="11" xfId="0" applyFont="1" applyBorder="1"/>
    <xf numFmtId="43" fontId="27" fillId="0" borderId="0" xfId="8" applyNumberFormat="1" applyFont="1" applyFill="1" applyBorder="1"/>
    <xf numFmtId="43" fontId="0" fillId="0" borderId="0" xfId="1" applyFont="1"/>
    <xf numFmtId="43" fontId="21" fillId="0" borderId="0" xfId="1" applyFont="1"/>
    <xf numFmtId="43" fontId="21" fillId="0" borderId="5" xfId="1" applyFont="1" applyBorder="1" applyAlignment="1">
      <alignment horizontal="center"/>
    </xf>
    <xf numFmtId="43" fontId="21" fillId="0" borderId="11" xfId="1" applyFont="1" applyBorder="1" applyAlignment="1">
      <alignment horizontal="center"/>
    </xf>
    <xf numFmtId="43" fontId="21" fillId="0" borderId="17" xfId="1" applyFont="1" applyBorder="1"/>
    <xf numFmtId="43" fontId="21" fillId="0" borderId="23" xfId="1" applyFont="1" applyBorder="1"/>
    <xf numFmtId="43" fontId="21" fillId="0" borderId="25" xfId="1" applyFont="1" applyBorder="1"/>
    <xf numFmtId="0" fontId="28" fillId="0" borderId="0" xfId="0" applyFont="1"/>
    <xf numFmtId="0" fontId="4" fillId="0" borderId="0" xfId="12" applyFont="1" applyAlignment="1"/>
    <xf numFmtId="0" fontId="10" fillId="0" borderId="0" xfId="12" applyFont="1"/>
    <xf numFmtId="0" fontId="10" fillId="0" borderId="0" xfId="12" applyFont="1" applyAlignment="1">
      <alignment horizontal="center"/>
    </xf>
    <xf numFmtId="0" fontId="7" fillId="0" borderId="0" xfId="9" applyFont="1"/>
    <xf numFmtId="0" fontId="10" fillId="0" borderId="0" xfId="14" applyFont="1" applyBorder="1"/>
    <xf numFmtId="0" fontId="7" fillId="0" borderId="0" xfId="9" applyFont="1" applyAlignment="1">
      <alignment horizontal="center"/>
    </xf>
    <xf numFmtId="0" fontId="4" fillId="0" borderId="0" xfId="14" applyFont="1" applyBorder="1"/>
    <xf numFmtId="0" fontId="5" fillId="0" borderId="0" xfId="9" applyFont="1"/>
    <xf numFmtId="43" fontId="4" fillId="0" borderId="0" xfId="1" applyFont="1" applyBorder="1"/>
    <xf numFmtId="0" fontId="4" fillId="0" borderId="0" xfId="9" applyFont="1"/>
    <xf numFmtId="0" fontId="29" fillId="0" borderId="0" xfId="0" applyFont="1" applyBorder="1" applyAlignment="1">
      <alignment horizontal="left"/>
    </xf>
    <xf numFmtId="0" fontId="4" fillId="0" borderId="0" xfId="12" applyFont="1" applyAlignment="1">
      <alignment horizontal="center"/>
    </xf>
    <xf numFmtId="0" fontId="4" fillId="0" borderId="0" xfId="9" applyFont="1" applyBorder="1" applyAlignment="1">
      <alignment horizontal="center"/>
    </xf>
    <xf numFmtId="0" fontId="10" fillId="0" borderId="0" xfId="12" applyFont="1" applyBorder="1"/>
    <xf numFmtId="0" fontId="10" fillId="0" borderId="0" xfId="12" applyFont="1" applyBorder="1" applyAlignment="1">
      <alignment horizontal="center"/>
    </xf>
    <xf numFmtId="0" fontId="30" fillId="0" borderId="0" xfId="0" applyFont="1" applyAlignment="1"/>
    <xf numFmtId="43" fontId="30" fillId="0" borderId="0" xfId="1" applyFont="1" applyAlignment="1"/>
    <xf numFmtId="0" fontId="32" fillId="0" borderId="17" xfId="0" applyFont="1" applyBorder="1"/>
    <xf numFmtId="0" fontId="33" fillId="0" borderId="25" xfId="0" applyFont="1" applyBorder="1" applyAlignment="1">
      <alignment horizontal="center"/>
    </xf>
    <xf numFmtId="0" fontId="32" fillId="0" borderId="29" xfId="0" applyFont="1" applyBorder="1"/>
    <xf numFmtId="43" fontId="33" fillId="0" borderId="17" xfId="1" applyFont="1" applyBorder="1"/>
    <xf numFmtId="0" fontId="34" fillId="0" borderId="0" xfId="0" applyFont="1"/>
    <xf numFmtId="0" fontId="33" fillId="0" borderId="21" xfId="0" applyFont="1" applyBorder="1"/>
    <xf numFmtId="43" fontId="33" fillId="0" borderId="21" xfId="1" applyFont="1" applyBorder="1"/>
    <xf numFmtId="43" fontId="33" fillId="0" borderId="23" xfId="1" applyFont="1" applyBorder="1"/>
    <xf numFmtId="0" fontId="33" fillId="0" borderId="23" xfId="0" applyFont="1" applyBorder="1"/>
    <xf numFmtId="43" fontId="33" fillId="0" borderId="25" xfId="1" applyFont="1" applyBorder="1"/>
    <xf numFmtId="43" fontId="33" fillId="0" borderId="29" xfId="1" applyFont="1" applyBorder="1"/>
    <xf numFmtId="0" fontId="33" fillId="0" borderId="0" xfId="0" applyFont="1"/>
    <xf numFmtId="43" fontId="33" fillId="0" borderId="0" xfId="1" applyFont="1"/>
    <xf numFmtId="43" fontId="33" fillId="0" borderId="30" xfId="1" applyFont="1" applyBorder="1"/>
    <xf numFmtId="0" fontId="33" fillId="0" borderId="5" xfId="0" applyFont="1" applyBorder="1" applyAlignment="1">
      <alignment horizontal="center"/>
    </xf>
    <xf numFmtId="43" fontId="33" fillId="0" borderId="5" xfId="1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43" fontId="33" fillId="0" borderId="11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2" fillId="0" borderId="0" xfId="9" applyFont="1" applyBorder="1" applyAlignment="1">
      <alignment horizontal="left"/>
    </xf>
    <xf numFmtId="43" fontId="22" fillId="0" borderId="0" xfId="8" applyNumberFormat="1" applyFont="1" applyFill="1" applyBorder="1"/>
    <xf numFmtId="43" fontId="22" fillId="0" borderId="0" xfId="9" applyNumberFormat="1" applyFont="1" applyBorder="1"/>
    <xf numFmtId="0" fontId="35" fillId="0" borderId="0" xfId="11" applyFont="1" applyBorder="1"/>
    <xf numFmtId="0" fontId="22" fillId="0" borderId="0" xfId="11" applyFont="1" applyBorder="1"/>
    <xf numFmtId="43" fontId="22" fillId="0" borderId="28" xfId="10" applyFont="1" applyBorder="1"/>
    <xf numFmtId="0" fontId="35" fillId="0" borderId="0" xfId="11" applyFont="1" applyBorder="1" applyAlignment="1"/>
    <xf numFmtId="0" fontId="35" fillId="0" borderId="0" xfId="9" applyFont="1" applyBorder="1" applyAlignment="1">
      <alignment horizontal="center"/>
    </xf>
    <xf numFmtId="0" fontId="22" fillId="0" borderId="0" xfId="9" quotePrefix="1" applyFont="1" applyBorder="1" applyAlignment="1">
      <alignment horizontal="center"/>
    </xf>
    <xf numFmtId="4" fontId="22" fillId="0" borderId="0" xfId="9" applyNumberFormat="1" applyFont="1" applyBorder="1"/>
    <xf numFmtId="43" fontId="17" fillId="0" borderId="0" xfId="0" applyNumberFormat="1" applyFont="1"/>
    <xf numFmtId="0" fontId="0" fillId="0" borderId="0" xfId="0" applyAlignment="1">
      <alignment horizontal="center"/>
    </xf>
    <xf numFmtId="0" fontId="10" fillId="0" borderId="6" xfId="6" applyFont="1" applyBorder="1"/>
    <xf numFmtId="49" fontId="10" fillId="0" borderId="0" xfId="6" applyNumberFormat="1" applyFont="1" applyBorder="1"/>
    <xf numFmtId="0" fontId="10" fillId="0" borderId="7" xfId="6" applyFont="1" applyBorder="1"/>
    <xf numFmtId="0" fontId="10" fillId="0" borderId="8" xfId="6" applyFont="1" applyBorder="1" applyAlignment="1">
      <alignment horizontal="center"/>
    </xf>
    <xf numFmtId="43" fontId="10" fillId="0" borderId="8" xfId="1" applyFont="1" applyBorder="1"/>
    <xf numFmtId="43" fontId="10" fillId="0" borderId="2" xfId="6" applyNumberFormat="1" applyFont="1" applyBorder="1" applyAlignment="1">
      <alignment horizontal="center"/>
    </xf>
    <xf numFmtId="0" fontId="23" fillId="0" borderId="0" xfId="9" applyFont="1" applyBorder="1" applyAlignment="1">
      <alignment horizontal="center"/>
    </xf>
    <xf numFmtId="43" fontId="23" fillId="0" borderId="0" xfId="9" applyNumberFormat="1" applyFont="1" applyBorder="1"/>
    <xf numFmtId="43" fontId="23" fillId="0" borderId="0" xfId="0" applyNumberFormat="1" applyFont="1"/>
    <xf numFmtId="0" fontId="22" fillId="0" borderId="0" xfId="9" applyFont="1" applyBorder="1" applyAlignment="1">
      <alignment horizontal="left"/>
    </xf>
    <xf numFmtId="0" fontId="23" fillId="0" borderId="8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43" fontId="22" fillId="0" borderId="8" xfId="1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36" fillId="0" borderId="0" xfId="9" applyFont="1" applyBorder="1" applyAlignment="1">
      <alignment horizontal="left"/>
    </xf>
    <xf numFmtId="43" fontId="20" fillId="0" borderId="21" xfId="1" applyFont="1" applyBorder="1"/>
    <xf numFmtId="0" fontId="4" fillId="0" borderId="0" xfId="6" applyFont="1" applyAlignment="1"/>
    <xf numFmtId="0" fontId="4" fillId="0" borderId="0" xfId="2" applyFont="1" applyFill="1" applyAlignment="1"/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43" fontId="3" fillId="0" borderId="2" xfId="1" applyFont="1" applyBorder="1"/>
    <xf numFmtId="0" fontId="2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3" fontId="2" fillId="0" borderId="25" xfId="1" applyFont="1" applyBorder="1"/>
    <xf numFmtId="0" fontId="3" fillId="0" borderId="31" xfId="0" applyFont="1" applyBorder="1" applyAlignment="1">
      <alignment horizontal="center"/>
    </xf>
    <xf numFmtId="0" fontId="3" fillId="0" borderId="31" xfId="0" applyFont="1" applyBorder="1"/>
    <xf numFmtId="0" fontId="3" fillId="0" borderId="4" xfId="0" applyFont="1" applyBorder="1"/>
    <xf numFmtId="0" fontId="0" fillId="0" borderId="0" xfId="0"/>
    <xf numFmtId="0" fontId="3" fillId="0" borderId="0" xfId="0" applyFont="1"/>
    <xf numFmtId="43" fontId="3" fillId="0" borderId="0" xfId="1" applyFont="1"/>
    <xf numFmtId="0" fontId="2" fillId="0" borderId="0" xfId="0" applyFont="1"/>
    <xf numFmtId="43" fontId="2" fillId="0" borderId="0" xfId="1" applyFont="1"/>
    <xf numFmtId="43" fontId="2" fillId="0" borderId="1" xfId="1" applyFont="1" applyBorder="1"/>
    <xf numFmtId="0" fontId="17" fillId="0" borderId="0" xfId="0" applyFont="1"/>
    <xf numFmtId="0" fontId="22" fillId="0" borderId="0" xfId="9" applyFont="1" applyBorder="1" applyAlignment="1">
      <alignment horizontal="center"/>
    </xf>
    <xf numFmtId="0" fontId="22" fillId="0" borderId="0" xfId="9" applyFont="1" applyBorder="1"/>
    <xf numFmtId="43" fontId="23" fillId="0" borderId="0" xfId="10" applyFont="1" applyBorder="1"/>
    <xf numFmtId="43" fontId="22" fillId="0" borderId="0" xfId="10" applyFont="1" applyBorder="1"/>
    <xf numFmtId="43" fontId="2" fillId="0" borderId="28" xfId="1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3" fontId="19" fillId="0" borderId="0" xfId="0" applyNumberFormat="1" applyFont="1"/>
    <xf numFmtId="43" fontId="19" fillId="0" borderId="0" xfId="1" applyFont="1"/>
    <xf numFmtId="43" fontId="37" fillId="0" borderId="21" xfId="1" applyFont="1" applyBorder="1"/>
    <xf numFmtId="43" fontId="37" fillId="0" borderId="23" xfId="1" applyFont="1" applyBorder="1"/>
    <xf numFmtId="0" fontId="15" fillId="0" borderId="8" xfId="0" applyFont="1" applyBorder="1"/>
    <xf numFmtId="43" fontId="14" fillId="0" borderId="8" xfId="1" applyFont="1" applyBorder="1"/>
    <xf numFmtId="0" fontId="15" fillId="2" borderId="21" xfId="0" applyFont="1" applyFill="1" applyBorder="1"/>
    <xf numFmtId="43" fontId="14" fillId="2" borderId="21" xfId="1" applyFont="1" applyFill="1" applyBorder="1"/>
    <xf numFmtId="0" fontId="0" fillId="2" borderId="0" xfId="0" applyFill="1"/>
    <xf numFmtId="0" fontId="4" fillId="0" borderId="0" xfId="12" applyFont="1" applyAlignment="1">
      <alignment horizontal="center"/>
    </xf>
    <xf numFmtId="187" fontId="3" fillId="0" borderId="0" xfId="1" applyNumberFormat="1" applyFont="1"/>
    <xf numFmtId="43" fontId="3" fillId="0" borderId="28" xfId="1" applyNumberFormat="1" applyFont="1" applyBorder="1"/>
    <xf numFmtId="187" fontId="2" fillId="0" borderId="32" xfId="1" applyNumberFormat="1" applyFont="1" applyBorder="1"/>
    <xf numFmtId="43" fontId="4" fillId="0" borderId="24" xfId="1" applyFont="1" applyBorder="1"/>
    <xf numFmtId="49" fontId="4" fillId="0" borderId="0" xfId="12" applyNumberFormat="1" applyFont="1" applyAlignment="1"/>
    <xf numFmtId="49" fontId="4" fillId="0" borderId="0" xfId="12" applyNumberFormat="1" applyFont="1" applyAlignment="1">
      <alignment horizontal="center"/>
    </xf>
    <xf numFmtId="49" fontId="7" fillId="0" borderId="0" xfId="9" applyNumberFormat="1" applyFont="1" applyAlignment="1">
      <alignment horizontal="center"/>
    </xf>
    <xf numFmtId="49" fontId="5" fillId="0" borderId="0" xfId="9" applyNumberFormat="1" applyFont="1" applyAlignment="1">
      <alignment horizontal="center"/>
    </xf>
    <xf numFmtId="49" fontId="10" fillId="0" borderId="0" xfId="12" applyNumberFormat="1" applyFont="1" applyAlignment="1">
      <alignment horizontal="center"/>
    </xf>
    <xf numFmtId="49" fontId="4" fillId="0" borderId="0" xfId="9" applyNumberFormat="1" applyFont="1" applyAlignment="1">
      <alignment horizontal="center"/>
    </xf>
    <xf numFmtId="49" fontId="10" fillId="0" borderId="0" xfId="9" applyNumberFormat="1" applyFont="1" applyBorder="1" applyAlignment="1">
      <alignment horizontal="center"/>
    </xf>
    <xf numFmtId="49" fontId="4" fillId="0" borderId="0" xfId="9" applyNumberFormat="1" applyFont="1" applyBorder="1" applyAlignment="1">
      <alignment horizontal="center"/>
    </xf>
    <xf numFmtId="49" fontId="10" fillId="0" borderId="0" xfId="12" applyNumberFormat="1" applyFont="1" applyBorder="1" applyAlignment="1">
      <alignment horizontal="center"/>
    </xf>
    <xf numFmtId="49" fontId="5" fillId="0" borderId="0" xfId="9" applyNumberFormat="1" applyFont="1" applyAlignment="1"/>
    <xf numFmtId="49" fontId="4" fillId="0" borderId="0" xfId="9" applyNumberFormat="1" applyFont="1" applyBorder="1" applyAlignment="1"/>
    <xf numFmtId="0" fontId="38" fillId="0" borderId="0" xfId="12" applyFont="1"/>
    <xf numFmtId="43" fontId="22" fillId="0" borderId="0" xfId="1" applyFont="1" applyBorder="1"/>
    <xf numFmtId="0" fontId="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" fillId="0" borderId="0" xfId="2" applyFont="1" applyFill="1" applyAlignment="1">
      <alignment horizontal="center"/>
    </xf>
    <xf numFmtId="0" fontId="5" fillId="0" borderId="0" xfId="2" applyFont="1" applyFill="1" applyAlignment="1">
      <alignment horizontal="center"/>
    </xf>
    <xf numFmtId="0" fontId="5" fillId="0" borderId="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/>
    </xf>
    <xf numFmtId="0" fontId="4" fillId="0" borderId="0" xfId="6" applyFont="1" applyAlignment="1">
      <alignment horizontal="center"/>
    </xf>
    <xf numFmtId="0" fontId="4" fillId="0" borderId="5" xfId="6" applyFont="1" applyBorder="1" applyAlignment="1">
      <alignment horizontal="center"/>
    </xf>
    <xf numFmtId="49" fontId="4" fillId="0" borderId="12" xfId="6" applyNumberFormat="1" applyFont="1" applyBorder="1" applyAlignment="1">
      <alignment horizontal="center"/>
    </xf>
    <xf numFmtId="49" fontId="4" fillId="0" borderId="24" xfId="6" applyNumberFormat="1" applyFont="1" applyBorder="1" applyAlignment="1">
      <alignment horizontal="center"/>
    </xf>
    <xf numFmtId="49" fontId="4" fillId="0" borderId="13" xfId="6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3" fillId="0" borderId="0" xfId="2" applyFont="1" applyFill="1" applyAlignment="1">
      <alignment horizontal="center"/>
    </xf>
    <xf numFmtId="0" fontId="23" fillId="0" borderId="0" xfId="6" applyFont="1" applyAlignment="1">
      <alignment horizontal="center"/>
    </xf>
    <xf numFmtId="0" fontId="22" fillId="0" borderId="0" xfId="9" applyFont="1" applyBorder="1" applyAlignment="1">
      <alignment horizontal="left"/>
    </xf>
    <xf numFmtId="0" fontId="10" fillId="0" borderId="0" xfId="9" applyFont="1" applyBorder="1" applyAlignment="1">
      <alignment horizontal="left"/>
    </xf>
    <xf numFmtId="43" fontId="4" fillId="0" borderId="0" xfId="1" applyFont="1" applyAlignment="1">
      <alignment horizontal="center"/>
    </xf>
    <xf numFmtId="43" fontId="4" fillId="0" borderId="0" xfId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4" fillId="0" borderId="0" xfId="12" applyFont="1" applyAlignment="1">
      <alignment horizontal="center"/>
    </xf>
    <xf numFmtId="0" fontId="4" fillId="0" borderId="0" xfId="12" applyFont="1" applyAlignment="1">
      <alignment horizontal="right"/>
    </xf>
    <xf numFmtId="43" fontId="4" fillId="0" borderId="0" xfId="1" applyFont="1" applyAlignment="1">
      <alignment horizontal="right"/>
    </xf>
  </cellXfs>
  <cellStyles count="15">
    <cellStyle name="เครื่องหมายจุลภาค" xfId="1" builtinId="3"/>
    <cellStyle name="เครื่องหมายจุลภาค 2 2" xfId="7"/>
    <cellStyle name="เครื่องหมายจุลภาค 2 3" xfId="13"/>
    <cellStyle name="เครื่องหมายจุลภาค 3 2" xfId="10"/>
    <cellStyle name="เครื่องหมายจุลภาค 8" xfId="3"/>
    <cellStyle name="เครื่องหมายจุลภาค_Sheet2" xfId="5"/>
    <cellStyle name="ปกติ" xfId="0" builtinId="0"/>
    <cellStyle name="ปกติ 2" xfId="2"/>
    <cellStyle name="ปกติ 2 2" xfId="9"/>
    <cellStyle name="ปกติ 2 3" xfId="6"/>
    <cellStyle name="ปกติ 2 4" xfId="12"/>
    <cellStyle name="ปกติ_Sheet2" xfId="4"/>
    <cellStyle name="ปกติ_กระดาษทำการงบทดลองปี 49 (2)" xfId="8"/>
    <cellStyle name="ปกติ_งบเงินสะสม" xfId="11"/>
    <cellStyle name="ปกติ_หมายเหตุประกอบ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28574</xdr:colOff>
      <xdr:row>66</xdr:row>
      <xdr:rowOff>219075</xdr:rowOff>
    </xdr:from>
    <xdr:ext cx="1704975" cy="744435"/>
    <xdr:sp macro="" textlink="">
      <xdr:nvSpPr>
        <xdr:cNvPr id="6" name="TextBox 5"/>
        <xdr:cNvSpPr txBox="1"/>
      </xdr:nvSpPr>
      <xdr:spPr>
        <a:xfrm>
          <a:off x="28574" y="17602200"/>
          <a:ext cx="1704975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  <xdr:twoCellAnchor>
    <xdr:from>
      <xdr:col>2</xdr:col>
      <xdr:colOff>314325</xdr:colOff>
      <xdr:row>66</xdr:row>
      <xdr:rowOff>228600</xdr:rowOff>
    </xdr:from>
    <xdr:to>
      <xdr:col>4</xdr:col>
      <xdr:colOff>228600</xdr:colOff>
      <xdr:row>72</xdr:row>
      <xdr:rowOff>9525</xdr:rowOff>
    </xdr:to>
    <xdr:sp macro="" textlink="">
      <xdr:nvSpPr>
        <xdr:cNvPr id="7" name="TextBox 6"/>
        <xdr:cNvSpPr txBox="1">
          <a:spLocks noChangeArrowheads="1"/>
        </xdr:cNvSpPr>
      </xdr:nvSpPr>
      <xdr:spPr bwMode="auto">
        <a:xfrm>
          <a:off x="1685925" y="17611725"/>
          <a:ext cx="1285875" cy="1085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4</xdr:col>
      <xdr:colOff>285750</xdr:colOff>
      <xdr:row>66</xdr:row>
      <xdr:rowOff>9525</xdr:rowOff>
    </xdr:from>
    <xdr:to>
      <xdr:col>7</xdr:col>
      <xdr:colOff>95251</xdr:colOff>
      <xdr:row>72</xdr:row>
      <xdr:rowOff>171450</xdr:rowOff>
    </xdr:to>
    <xdr:sp macro="" textlink="">
      <xdr:nvSpPr>
        <xdr:cNvPr id="8" name="TextBox 7"/>
        <xdr:cNvSpPr txBox="1">
          <a:spLocks noChangeArrowheads="1"/>
        </xdr:cNvSpPr>
      </xdr:nvSpPr>
      <xdr:spPr bwMode="auto">
        <a:xfrm>
          <a:off x="3028950" y="17392650"/>
          <a:ext cx="1876426" cy="1466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  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  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   ปลัดองค์การบริหารส่วนตำบล  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7</xdr:col>
      <xdr:colOff>304798</xdr:colOff>
      <xdr:row>65</xdr:row>
      <xdr:rowOff>104775</xdr:rowOff>
    </xdr:from>
    <xdr:to>
      <xdr:col>9</xdr:col>
      <xdr:colOff>1047749</xdr:colOff>
      <xdr:row>72</xdr:row>
      <xdr:rowOff>152399</xdr:rowOff>
    </xdr:to>
    <xdr:sp macro="" textlink="">
      <xdr:nvSpPr>
        <xdr:cNvPr id="9" name="TextBox 8"/>
        <xdr:cNvSpPr txBox="1">
          <a:spLocks noChangeArrowheads="1"/>
        </xdr:cNvSpPr>
      </xdr:nvSpPr>
      <xdr:spPr bwMode="auto">
        <a:xfrm>
          <a:off x="5114923" y="17249775"/>
          <a:ext cx="1600201" cy="159067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1171575</xdr:colOff>
      <xdr:row>30</xdr:row>
      <xdr:rowOff>9524</xdr:rowOff>
    </xdr:from>
    <xdr:to>
      <xdr:col>2</xdr:col>
      <xdr:colOff>485775</xdr:colOff>
      <xdr:row>33</xdr:row>
      <xdr:rowOff>209549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1857375" y="17278349"/>
          <a:ext cx="1362075" cy="1000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2</xdr:col>
      <xdr:colOff>714376</xdr:colOff>
      <xdr:row>30</xdr:row>
      <xdr:rowOff>0</xdr:rowOff>
    </xdr:from>
    <xdr:to>
      <xdr:col>3</xdr:col>
      <xdr:colOff>1209675</xdr:colOff>
      <xdr:row>34</xdr:row>
      <xdr:rowOff>123825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448051" y="17268825"/>
          <a:ext cx="1581149" cy="1190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3</xdr:col>
      <xdr:colOff>1304924</xdr:colOff>
      <xdr:row>30</xdr:row>
      <xdr:rowOff>19050</xdr:rowOff>
    </xdr:from>
    <xdr:to>
      <xdr:col>4</xdr:col>
      <xdr:colOff>971550</xdr:colOff>
      <xdr:row>34</xdr:row>
      <xdr:rowOff>209550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5124449" y="17287875"/>
          <a:ext cx="1800226" cy="1257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47625</xdr:colOff>
      <xdr:row>31</xdr:row>
      <xdr:rowOff>0</xdr:rowOff>
    </xdr:from>
    <xdr:ext cx="1733550" cy="744435"/>
    <xdr:sp macro="" textlink="">
      <xdr:nvSpPr>
        <xdr:cNvPr id="5" name="TextBox 4"/>
        <xdr:cNvSpPr txBox="1"/>
      </xdr:nvSpPr>
      <xdr:spPr>
        <a:xfrm>
          <a:off x="47625" y="8010525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61</xdr:row>
      <xdr:rowOff>9525</xdr:rowOff>
    </xdr:from>
    <xdr:ext cx="1647826" cy="744435"/>
    <xdr:sp macro="" textlink="">
      <xdr:nvSpPr>
        <xdr:cNvPr id="9" name="TextBox 8"/>
        <xdr:cNvSpPr txBox="1"/>
      </xdr:nvSpPr>
      <xdr:spPr>
        <a:xfrm>
          <a:off x="19050" y="18592800"/>
          <a:ext cx="1647826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 (นางสาวนิศารัตน์ หมาดโซ๊ะ.) นักวิชาการเงินและบัญชี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28</xdr:row>
      <xdr:rowOff>0</xdr:rowOff>
    </xdr:from>
    <xdr:ext cx="1676400" cy="309700"/>
    <xdr:sp macro="" textlink="">
      <xdr:nvSpPr>
        <xdr:cNvPr id="5" name="TextBox 4"/>
        <xdr:cNvSpPr txBox="1"/>
      </xdr:nvSpPr>
      <xdr:spPr>
        <a:xfrm>
          <a:off x="47625" y="6705600"/>
          <a:ext cx="1676400" cy="3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500"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54</xdr:row>
      <xdr:rowOff>114299</xdr:rowOff>
    </xdr:from>
    <xdr:to>
      <xdr:col>3</xdr:col>
      <xdr:colOff>476250</xdr:colOff>
      <xdr:row>57</xdr:row>
      <xdr:rowOff>171450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1876425" y="13001624"/>
          <a:ext cx="1552575" cy="7810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3</xdr:col>
      <xdr:colOff>885825</xdr:colOff>
      <xdr:row>54</xdr:row>
      <xdr:rowOff>38100</xdr:rowOff>
    </xdr:from>
    <xdr:to>
      <xdr:col>5</xdr:col>
      <xdr:colOff>419100</xdr:colOff>
      <xdr:row>57</xdr:row>
      <xdr:rowOff>142875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838575" y="12925425"/>
          <a:ext cx="2333625" cy="828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5</xdr:col>
      <xdr:colOff>1028700</xdr:colOff>
      <xdr:row>54</xdr:row>
      <xdr:rowOff>114300</xdr:rowOff>
    </xdr:from>
    <xdr:to>
      <xdr:col>6</xdr:col>
      <xdr:colOff>742950</xdr:colOff>
      <xdr:row>57</xdr:row>
      <xdr:rowOff>180975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6781800" y="13001625"/>
          <a:ext cx="2295525" cy="790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76200</xdr:colOff>
      <xdr:row>54</xdr:row>
      <xdr:rowOff>190500</xdr:rowOff>
    </xdr:from>
    <xdr:ext cx="1733550" cy="744435"/>
    <xdr:sp macro="" textlink="">
      <xdr:nvSpPr>
        <xdr:cNvPr id="5" name="TextBox 4"/>
        <xdr:cNvSpPr txBox="1"/>
      </xdr:nvSpPr>
      <xdr:spPr>
        <a:xfrm>
          <a:off x="76200" y="13077825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18</xdr:row>
      <xdr:rowOff>9524</xdr:rowOff>
    </xdr:from>
    <xdr:to>
      <xdr:col>4</xdr:col>
      <xdr:colOff>285750</xdr:colOff>
      <xdr:row>21</xdr:row>
      <xdr:rowOff>209549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1704975" y="4391024"/>
          <a:ext cx="1323975" cy="1000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4</xdr:col>
      <xdr:colOff>333375</xdr:colOff>
      <xdr:row>18</xdr:row>
      <xdr:rowOff>0</xdr:rowOff>
    </xdr:from>
    <xdr:to>
      <xdr:col>6</xdr:col>
      <xdr:colOff>590549</xdr:colOff>
      <xdr:row>22</xdr:row>
      <xdr:rowOff>123825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076575" y="4381500"/>
          <a:ext cx="1781174" cy="1190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6</xdr:col>
      <xdr:colOff>666749</xdr:colOff>
      <xdr:row>18</xdr:row>
      <xdr:rowOff>38100</xdr:rowOff>
    </xdr:from>
    <xdr:to>
      <xdr:col>8</xdr:col>
      <xdr:colOff>571500</xdr:colOff>
      <xdr:row>22</xdr:row>
      <xdr:rowOff>228600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4933949" y="4419600"/>
          <a:ext cx="1876426" cy="1257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47625</xdr:colOff>
      <xdr:row>19</xdr:row>
      <xdr:rowOff>9525</xdr:rowOff>
    </xdr:from>
    <xdr:ext cx="1695450" cy="744435"/>
    <xdr:sp macro="" textlink="">
      <xdr:nvSpPr>
        <xdr:cNvPr id="5" name="TextBox 4"/>
        <xdr:cNvSpPr txBox="1"/>
      </xdr:nvSpPr>
      <xdr:spPr>
        <a:xfrm>
          <a:off x="47625" y="4657725"/>
          <a:ext cx="16954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1409701</xdr:colOff>
      <xdr:row>21</xdr:row>
      <xdr:rowOff>114299</xdr:rowOff>
    </xdr:from>
    <xdr:to>
      <xdr:col>2</xdr:col>
      <xdr:colOff>1457325</xdr:colOff>
      <xdr:row>24</xdr:row>
      <xdr:rowOff>190500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2095501" y="5714999"/>
          <a:ext cx="1638299" cy="8763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2</xdr:col>
      <xdr:colOff>1704975</xdr:colOff>
      <xdr:row>20</xdr:row>
      <xdr:rowOff>28575</xdr:rowOff>
    </xdr:from>
    <xdr:to>
      <xdr:col>4</xdr:col>
      <xdr:colOff>19050</xdr:colOff>
      <xdr:row>24</xdr:row>
      <xdr:rowOff>238125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981450" y="5448300"/>
          <a:ext cx="2305050" cy="1190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4</xdr:col>
      <xdr:colOff>228599</xdr:colOff>
      <xdr:row>20</xdr:row>
      <xdr:rowOff>76200</xdr:rowOff>
    </xdr:from>
    <xdr:to>
      <xdr:col>7</xdr:col>
      <xdr:colOff>495300</xdr:colOff>
      <xdr:row>24</xdr:row>
      <xdr:rowOff>228600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6496049" y="5495925"/>
          <a:ext cx="2600326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76200</xdr:colOff>
      <xdr:row>21</xdr:row>
      <xdr:rowOff>123825</xdr:rowOff>
    </xdr:from>
    <xdr:ext cx="1733550" cy="744435"/>
    <xdr:sp macro="" textlink="">
      <xdr:nvSpPr>
        <xdr:cNvPr id="5" name="TextBox 4"/>
        <xdr:cNvSpPr txBox="1"/>
      </xdr:nvSpPr>
      <xdr:spPr>
        <a:xfrm>
          <a:off x="76200" y="5724525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9526</xdr:colOff>
      <xdr:row>20</xdr:row>
      <xdr:rowOff>9524</xdr:rowOff>
    </xdr:from>
    <xdr:to>
      <xdr:col>4</xdr:col>
      <xdr:colOff>180975</xdr:colOff>
      <xdr:row>23</xdr:row>
      <xdr:rowOff>209549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2628901" y="5105399"/>
          <a:ext cx="1533524" cy="1000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4</xdr:col>
      <xdr:colOff>352425</xdr:colOff>
      <xdr:row>19</xdr:row>
      <xdr:rowOff>247650</xdr:rowOff>
    </xdr:from>
    <xdr:to>
      <xdr:col>6</xdr:col>
      <xdr:colOff>238125</xdr:colOff>
      <xdr:row>23</xdr:row>
      <xdr:rowOff>238125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4333875" y="5076825"/>
          <a:ext cx="2257425" cy="1057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6</xdr:col>
      <xdr:colOff>285750</xdr:colOff>
      <xdr:row>19</xdr:row>
      <xdr:rowOff>247651</xdr:rowOff>
    </xdr:from>
    <xdr:to>
      <xdr:col>7</xdr:col>
      <xdr:colOff>1219201</xdr:colOff>
      <xdr:row>23</xdr:row>
      <xdr:rowOff>209551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6638925" y="5076826"/>
          <a:ext cx="2295526" cy="1028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1</xdr:col>
      <xdr:colOff>47625</xdr:colOff>
      <xdr:row>21</xdr:row>
      <xdr:rowOff>9525</xdr:rowOff>
    </xdr:from>
    <xdr:ext cx="1733550" cy="744435"/>
    <xdr:sp macro="" textlink="">
      <xdr:nvSpPr>
        <xdr:cNvPr id="5" name="TextBox 4"/>
        <xdr:cNvSpPr txBox="1"/>
      </xdr:nvSpPr>
      <xdr:spPr>
        <a:xfrm>
          <a:off x="47625" y="7781925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18</xdr:row>
      <xdr:rowOff>133349</xdr:rowOff>
    </xdr:from>
    <xdr:to>
      <xdr:col>2</xdr:col>
      <xdr:colOff>800100</xdr:colOff>
      <xdr:row>22</xdr:row>
      <xdr:rowOff>66674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2047875" y="4610099"/>
          <a:ext cx="1628775" cy="1000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2</xdr:col>
      <xdr:colOff>1038225</xdr:colOff>
      <xdr:row>18</xdr:row>
      <xdr:rowOff>47625</xdr:rowOff>
    </xdr:from>
    <xdr:to>
      <xdr:col>4</xdr:col>
      <xdr:colOff>495300</xdr:colOff>
      <xdr:row>22</xdr:row>
      <xdr:rowOff>171450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914775" y="4524375"/>
          <a:ext cx="2333625" cy="1190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4</xdr:col>
      <xdr:colOff>790574</xdr:colOff>
      <xdr:row>18</xdr:row>
      <xdr:rowOff>19050</xdr:rowOff>
    </xdr:from>
    <xdr:to>
      <xdr:col>6</xdr:col>
      <xdr:colOff>285750</xdr:colOff>
      <xdr:row>22</xdr:row>
      <xdr:rowOff>209550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6543674" y="4495800"/>
          <a:ext cx="2371726" cy="1257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47625</xdr:colOff>
      <xdr:row>19</xdr:row>
      <xdr:rowOff>9525</xdr:rowOff>
    </xdr:from>
    <xdr:ext cx="1733550" cy="744435"/>
    <xdr:sp macro="" textlink="">
      <xdr:nvSpPr>
        <xdr:cNvPr id="5" name="TextBox 4"/>
        <xdr:cNvSpPr txBox="1"/>
      </xdr:nvSpPr>
      <xdr:spPr>
        <a:xfrm>
          <a:off x="47625" y="7781925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800101</xdr:colOff>
      <xdr:row>19</xdr:row>
      <xdr:rowOff>104774</xdr:rowOff>
    </xdr:from>
    <xdr:to>
      <xdr:col>3</xdr:col>
      <xdr:colOff>38101</xdr:colOff>
      <xdr:row>22</xdr:row>
      <xdr:rowOff>228600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1866901" y="5200649"/>
          <a:ext cx="1371600" cy="8382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3</xdr:col>
      <xdr:colOff>104775</xdr:colOff>
      <xdr:row>19</xdr:row>
      <xdr:rowOff>104776</xdr:rowOff>
    </xdr:from>
    <xdr:to>
      <xdr:col>5</xdr:col>
      <xdr:colOff>171450</xdr:colOff>
      <xdr:row>22</xdr:row>
      <xdr:rowOff>180975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305175" y="5200651"/>
          <a:ext cx="2200275" cy="79057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5</xdr:col>
      <xdr:colOff>295274</xdr:colOff>
      <xdr:row>19</xdr:row>
      <xdr:rowOff>66675</xdr:rowOff>
    </xdr:from>
    <xdr:to>
      <xdr:col>7</xdr:col>
      <xdr:colOff>609598</xdr:colOff>
      <xdr:row>22</xdr:row>
      <xdr:rowOff>200025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5629274" y="5162550"/>
          <a:ext cx="2447924" cy="847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57150</xdr:colOff>
      <xdr:row>20</xdr:row>
      <xdr:rowOff>9525</xdr:rowOff>
    </xdr:from>
    <xdr:ext cx="1733550" cy="744435"/>
    <xdr:sp macro="" textlink="">
      <xdr:nvSpPr>
        <xdr:cNvPr id="5" name="TextBox 4"/>
        <xdr:cNvSpPr txBox="1"/>
      </xdr:nvSpPr>
      <xdr:spPr>
        <a:xfrm>
          <a:off x="57150" y="5286375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666751</xdr:colOff>
      <xdr:row>18</xdr:row>
      <xdr:rowOff>123825</xdr:rowOff>
    </xdr:from>
    <xdr:to>
      <xdr:col>2</xdr:col>
      <xdr:colOff>895350</xdr:colOff>
      <xdr:row>21</xdr:row>
      <xdr:rowOff>238126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1819276" y="5305425"/>
          <a:ext cx="1381124" cy="8286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2</xdr:col>
      <xdr:colOff>1047750</xdr:colOff>
      <xdr:row>18</xdr:row>
      <xdr:rowOff>85726</xdr:rowOff>
    </xdr:from>
    <xdr:to>
      <xdr:col>4</xdr:col>
      <xdr:colOff>1038226</xdr:colOff>
      <xdr:row>21</xdr:row>
      <xdr:rowOff>152401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352800" y="5267326"/>
          <a:ext cx="2295526" cy="781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5</xdr:col>
      <xdr:colOff>276224</xdr:colOff>
      <xdr:row>18</xdr:row>
      <xdr:rowOff>104775</xdr:rowOff>
    </xdr:from>
    <xdr:to>
      <xdr:col>7</xdr:col>
      <xdr:colOff>590548</xdr:colOff>
      <xdr:row>21</xdr:row>
      <xdr:rowOff>190500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6038849" y="5286375"/>
          <a:ext cx="2619374" cy="800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47625</xdr:colOff>
      <xdr:row>19</xdr:row>
      <xdr:rowOff>0</xdr:rowOff>
    </xdr:from>
    <xdr:ext cx="1733550" cy="744435"/>
    <xdr:sp macro="" textlink="">
      <xdr:nvSpPr>
        <xdr:cNvPr id="5" name="TextBox 4"/>
        <xdr:cNvSpPr txBox="1"/>
      </xdr:nvSpPr>
      <xdr:spPr>
        <a:xfrm>
          <a:off x="47625" y="5362575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18</xdr:row>
      <xdr:rowOff>95249</xdr:rowOff>
    </xdr:from>
    <xdr:to>
      <xdr:col>3</xdr:col>
      <xdr:colOff>161925</xdr:colOff>
      <xdr:row>21</xdr:row>
      <xdr:rowOff>190500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1781176" y="5257799"/>
          <a:ext cx="1381124" cy="7334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3</xdr:col>
      <xdr:colOff>295275</xdr:colOff>
      <xdr:row>18</xdr:row>
      <xdr:rowOff>95251</xdr:rowOff>
    </xdr:from>
    <xdr:to>
      <xdr:col>5</xdr:col>
      <xdr:colOff>457200</xdr:colOff>
      <xdr:row>21</xdr:row>
      <xdr:rowOff>228600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295650" y="5257801"/>
          <a:ext cx="2162175" cy="7715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6</xdr:col>
      <xdr:colOff>95249</xdr:colOff>
      <xdr:row>18</xdr:row>
      <xdr:rowOff>133350</xdr:rowOff>
    </xdr:from>
    <xdr:to>
      <xdr:col>8</xdr:col>
      <xdr:colOff>352423</xdr:colOff>
      <xdr:row>21</xdr:row>
      <xdr:rowOff>228600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6095999" y="5295900"/>
          <a:ext cx="2257424" cy="733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85725</xdr:colOff>
      <xdr:row>18</xdr:row>
      <xdr:rowOff>161925</xdr:rowOff>
    </xdr:from>
    <xdr:ext cx="1733550" cy="744435"/>
    <xdr:sp macro="" textlink="">
      <xdr:nvSpPr>
        <xdr:cNvPr id="5" name="TextBox 4"/>
        <xdr:cNvSpPr txBox="1"/>
      </xdr:nvSpPr>
      <xdr:spPr>
        <a:xfrm>
          <a:off x="85725" y="5324475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19</xdr:row>
      <xdr:rowOff>219074</xdr:rowOff>
    </xdr:from>
    <xdr:to>
      <xdr:col>3</xdr:col>
      <xdr:colOff>180974</xdr:colOff>
      <xdr:row>22</xdr:row>
      <xdr:rowOff>180975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1771650" y="5105399"/>
          <a:ext cx="1381124" cy="762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3</xdr:col>
      <xdr:colOff>247650</xdr:colOff>
      <xdr:row>19</xdr:row>
      <xdr:rowOff>209551</xdr:rowOff>
    </xdr:from>
    <xdr:to>
      <xdr:col>5</xdr:col>
      <xdr:colOff>638174</xdr:colOff>
      <xdr:row>22</xdr:row>
      <xdr:rowOff>190501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219450" y="5095876"/>
          <a:ext cx="2371724" cy="781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5</xdr:col>
      <xdr:colOff>771524</xdr:colOff>
      <xdr:row>19</xdr:row>
      <xdr:rowOff>180975</xdr:rowOff>
    </xdr:from>
    <xdr:to>
      <xdr:col>8</xdr:col>
      <xdr:colOff>504825</xdr:colOff>
      <xdr:row>22</xdr:row>
      <xdr:rowOff>171450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5724524" y="5067300"/>
          <a:ext cx="2705101" cy="790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38100</xdr:colOff>
      <xdr:row>19</xdr:row>
      <xdr:rowOff>238125</xdr:rowOff>
    </xdr:from>
    <xdr:ext cx="1733550" cy="744435"/>
    <xdr:sp macro="" textlink="">
      <xdr:nvSpPr>
        <xdr:cNvPr id="5" name="TextBox 4"/>
        <xdr:cNvSpPr txBox="1"/>
      </xdr:nvSpPr>
      <xdr:spPr>
        <a:xfrm>
          <a:off x="38100" y="5124450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771526</xdr:colOff>
      <xdr:row>20</xdr:row>
      <xdr:rowOff>95249</xdr:rowOff>
    </xdr:from>
    <xdr:to>
      <xdr:col>2</xdr:col>
      <xdr:colOff>914401</xdr:colOff>
      <xdr:row>23</xdr:row>
      <xdr:rowOff>142875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1981201" y="5248274"/>
          <a:ext cx="1352550" cy="762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3</xdr:col>
      <xdr:colOff>0</xdr:colOff>
      <xdr:row>20</xdr:row>
      <xdr:rowOff>47626</xdr:rowOff>
    </xdr:from>
    <xdr:to>
      <xdr:col>4</xdr:col>
      <xdr:colOff>1038225</xdr:colOff>
      <xdr:row>23</xdr:row>
      <xdr:rowOff>190501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629025" y="5200651"/>
          <a:ext cx="2247900" cy="857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4</xdr:col>
      <xdr:colOff>1133474</xdr:colOff>
      <xdr:row>20</xdr:row>
      <xdr:rowOff>123825</xdr:rowOff>
    </xdr:from>
    <xdr:to>
      <xdr:col>6</xdr:col>
      <xdr:colOff>1019175</xdr:colOff>
      <xdr:row>23</xdr:row>
      <xdr:rowOff>238125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5972174" y="5276850"/>
          <a:ext cx="2305051" cy="828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47625</xdr:colOff>
      <xdr:row>20</xdr:row>
      <xdr:rowOff>152400</xdr:rowOff>
    </xdr:from>
    <xdr:ext cx="1733550" cy="744435"/>
    <xdr:sp macro="" textlink="">
      <xdr:nvSpPr>
        <xdr:cNvPr id="5" name="TextBox 4"/>
        <xdr:cNvSpPr txBox="1"/>
      </xdr:nvSpPr>
      <xdr:spPr>
        <a:xfrm>
          <a:off x="47625" y="5305425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276226</xdr:colOff>
      <xdr:row>20</xdr:row>
      <xdr:rowOff>47625</xdr:rowOff>
    </xdr:from>
    <xdr:to>
      <xdr:col>4</xdr:col>
      <xdr:colOff>57150</xdr:colOff>
      <xdr:row>23</xdr:row>
      <xdr:rowOff>142876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2066926" y="5200650"/>
          <a:ext cx="1571624" cy="8096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4</xdr:col>
      <xdr:colOff>409575</xdr:colOff>
      <xdr:row>20</xdr:row>
      <xdr:rowOff>47626</xdr:rowOff>
    </xdr:from>
    <xdr:to>
      <xdr:col>6</xdr:col>
      <xdr:colOff>819149</xdr:colOff>
      <xdr:row>23</xdr:row>
      <xdr:rowOff>133351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990975" y="5200651"/>
          <a:ext cx="2200274" cy="800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7</xdr:col>
      <xdr:colOff>57149</xdr:colOff>
      <xdr:row>20</xdr:row>
      <xdr:rowOff>66675</xdr:rowOff>
    </xdr:from>
    <xdr:to>
      <xdr:col>9</xdr:col>
      <xdr:colOff>666750</xdr:colOff>
      <xdr:row>23</xdr:row>
      <xdr:rowOff>238125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6324599" y="5219700"/>
          <a:ext cx="2400301" cy="885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28575</xdr:colOff>
      <xdr:row>20</xdr:row>
      <xdr:rowOff>161925</xdr:rowOff>
    </xdr:from>
    <xdr:ext cx="1733550" cy="744435"/>
    <xdr:sp macro="" textlink="">
      <xdr:nvSpPr>
        <xdr:cNvPr id="5" name="TextBox 4"/>
        <xdr:cNvSpPr txBox="1"/>
      </xdr:nvSpPr>
      <xdr:spPr>
        <a:xfrm>
          <a:off x="28575" y="5314950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161926</xdr:colOff>
      <xdr:row>18</xdr:row>
      <xdr:rowOff>9525</xdr:rowOff>
    </xdr:from>
    <xdr:to>
      <xdr:col>3</xdr:col>
      <xdr:colOff>942975</xdr:colOff>
      <xdr:row>21</xdr:row>
      <xdr:rowOff>209550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2162176" y="5086350"/>
          <a:ext cx="1781174" cy="838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3</xdr:col>
      <xdr:colOff>819150</xdr:colOff>
      <xdr:row>18</xdr:row>
      <xdr:rowOff>95251</xdr:rowOff>
    </xdr:from>
    <xdr:to>
      <xdr:col>6</xdr:col>
      <xdr:colOff>104775</xdr:colOff>
      <xdr:row>21</xdr:row>
      <xdr:rowOff>257176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819525" y="5172076"/>
          <a:ext cx="2286000" cy="800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6</xdr:col>
      <xdr:colOff>447675</xdr:colOff>
      <xdr:row>18</xdr:row>
      <xdr:rowOff>114300</xdr:rowOff>
    </xdr:from>
    <xdr:to>
      <xdr:col>8</xdr:col>
      <xdr:colOff>914401</xdr:colOff>
      <xdr:row>21</xdr:row>
      <xdr:rowOff>209550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6448425" y="5191125"/>
          <a:ext cx="2466976" cy="733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66675</xdr:colOff>
      <xdr:row>18</xdr:row>
      <xdr:rowOff>114300</xdr:rowOff>
    </xdr:from>
    <xdr:ext cx="1733550" cy="744435"/>
    <xdr:sp macro="" textlink="">
      <xdr:nvSpPr>
        <xdr:cNvPr id="5" name="TextBox 4"/>
        <xdr:cNvSpPr txBox="1"/>
      </xdr:nvSpPr>
      <xdr:spPr>
        <a:xfrm>
          <a:off x="66675" y="5191125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22</xdr:row>
      <xdr:rowOff>180975</xdr:rowOff>
    </xdr:from>
    <xdr:to>
      <xdr:col>3</xdr:col>
      <xdr:colOff>47625</xdr:colOff>
      <xdr:row>25</xdr:row>
      <xdr:rowOff>190501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1933576" y="5715000"/>
          <a:ext cx="1571624" cy="8096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3</xdr:col>
      <xdr:colOff>104775</xdr:colOff>
      <xdr:row>22</xdr:row>
      <xdr:rowOff>180976</xdr:rowOff>
    </xdr:from>
    <xdr:to>
      <xdr:col>4</xdr:col>
      <xdr:colOff>1352550</xdr:colOff>
      <xdr:row>25</xdr:row>
      <xdr:rowOff>200026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562350" y="5715001"/>
          <a:ext cx="2400300" cy="819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4</xdr:col>
      <xdr:colOff>1314449</xdr:colOff>
      <xdr:row>22</xdr:row>
      <xdr:rowOff>95250</xdr:rowOff>
    </xdr:from>
    <xdr:to>
      <xdr:col>6</xdr:col>
      <xdr:colOff>990600</xdr:colOff>
      <xdr:row>25</xdr:row>
      <xdr:rowOff>180975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5924549" y="5629275"/>
          <a:ext cx="2324101" cy="885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28575</xdr:colOff>
      <xdr:row>22</xdr:row>
      <xdr:rowOff>190500</xdr:rowOff>
    </xdr:from>
    <xdr:ext cx="1733550" cy="744435"/>
    <xdr:sp macro="" textlink="">
      <xdr:nvSpPr>
        <xdr:cNvPr id="5" name="TextBox 4"/>
        <xdr:cNvSpPr txBox="1"/>
      </xdr:nvSpPr>
      <xdr:spPr>
        <a:xfrm>
          <a:off x="28575" y="5724525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600076</xdr:colOff>
      <xdr:row>21</xdr:row>
      <xdr:rowOff>219075</xdr:rowOff>
    </xdr:from>
    <xdr:to>
      <xdr:col>2</xdr:col>
      <xdr:colOff>942975</xdr:colOff>
      <xdr:row>24</xdr:row>
      <xdr:rowOff>152401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1828801" y="5734050"/>
          <a:ext cx="1571624" cy="7334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2</xdr:col>
      <xdr:colOff>1162050</xdr:colOff>
      <xdr:row>21</xdr:row>
      <xdr:rowOff>200025</xdr:rowOff>
    </xdr:from>
    <xdr:to>
      <xdr:col>4</xdr:col>
      <xdr:colOff>1038225</xdr:colOff>
      <xdr:row>24</xdr:row>
      <xdr:rowOff>171450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3619500" y="5715000"/>
          <a:ext cx="2333625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4</xdr:col>
      <xdr:colOff>1133475</xdr:colOff>
      <xdr:row>21</xdr:row>
      <xdr:rowOff>200025</xdr:rowOff>
    </xdr:from>
    <xdr:to>
      <xdr:col>6</xdr:col>
      <xdr:colOff>933451</xdr:colOff>
      <xdr:row>24</xdr:row>
      <xdr:rowOff>171450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6048375" y="5715000"/>
          <a:ext cx="2257426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47625</xdr:colOff>
      <xdr:row>21</xdr:row>
      <xdr:rowOff>228600</xdr:rowOff>
    </xdr:from>
    <xdr:ext cx="1733550" cy="744435"/>
    <xdr:sp macro="" textlink="">
      <xdr:nvSpPr>
        <xdr:cNvPr id="5" name="TextBox 4"/>
        <xdr:cNvSpPr txBox="1"/>
      </xdr:nvSpPr>
      <xdr:spPr>
        <a:xfrm>
          <a:off x="47625" y="5743575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23</xdr:row>
      <xdr:rowOff>47624</xdr:rowOff>
    </xdr:from>
    <xdr:to>
      <xdr:col>7</xdr:col>
      <xdr:colOff>28575</xdr:colOff>
      <xdr:row>26</xdr:row>
      <xdr:rowOff>95250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3409950" y="5419724"/>
          <a:ext cx="1371600" cy="762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304800</xdr:colOff>
      <xdr:row>23</xdr:row>
      <xdr:rowOff>47625</xdr:rowOff>
    </xdr:from>
    <xdr:to>
      <xdr:col>10</xdr:col>
      <xdr:colOff>352425</xdr:colOff>
      <xdr:row>26</xdr:row>
      <xdr:rowOff>142875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5419725" y="4467225"/>
          <a:ext cx="1819275" cy="809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11</xdr:col>
      <xdr:colOff>0</xdr:colOff>
      <xdr:row>23</xdr:row>
      <xdr:rowOff>9525</xdr:rowOff>
    </xdr:from>
    <xdr:to>
      <xdr:col>13</xdr:col>
      <xdr:colOff>428626</xdr:colOff>
      <xdr:row>26</xdr:row>
      <xdr:rowOff>95250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7724775" y="5381625"/>
          <a:ext cx="2352676" cy="800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2</xdr:col>
      <xdr:colOff>47625</xdr:colOff>
      <xdr:row>23</xdr:row>
      <xdr:rowOff>38100</xdr:rowOff>
    </xdr:from>
    <xdr:ext cx="1695450" cy="744435"/>
    <xdr:sp macro="" textlink="">
      <xdr:nvSpPr>
        <xdr:cNvPr id="5" name="TextBox 4"/>
        <xdr:cNvSpPr txBox="1"/>
      </xdr:nvSpPr>
      <xdr:spPr>
        <a:xfrm>
          <a:off x="1333500" y="5410200"/>
          <a:ext cx="16954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</xdr:colOff>
      <xdr:row>28</xdr:row>
      <xdr:rowOff>104775</xdr:rowOff>
    </xdr:from>
    <xdr:to>
      <xdr:col>7</xdr:col>
      <xdr:colOff>304799</xdr:colOff>
      <xdr:row>31</xdr:row>
      <xdr:rowOff>142876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3695699" y="5476875"/>
          <a:ext cx="1362075" cy="7524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8</xdr:col>
      <xdr:colOff>95249</xdr:colOff>
      <xdr:row>28</xdr:row>
      <xdr:rowOff>123825</xdr:rowOff>
    </xdr:from>
    <xdr:to>
      <xdr:col>11</xdr:col>
      <xdr:colOff>142874</xdr:colOff>
      <xdr:row>31</xdr:row>
      <xdr:rowOff>200025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5419724" y="5495925"/>
          <a:ext cx="2105025" cy="790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11</xdr:col>
      <xdr:colOff>390524</xdr:colOff>
      <xdr:row>28</xdr:row>
      <xdr:rowOff>123825</xdr:rowOff>
    </xdr:from>
    <xdr:to>
      <xdr:col>15</xdr:col>
      <xdr:colOff>466725</xdr:colOff>
      <xdr:row>31</xdr:row>
      <xdr:rowOff>228600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7772399" y="5495925"/>
          <a:ext cx="2371726" cy="819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2</xdr:col>
      <xdr:colOff>66675</xdr:colOff>
      <xdr:row>28</xdr:row>
      <xdr:rowOff>133350</xdr:rowOff>
    </xdr:from>
    <xdr:ext cx="1733550" cy="744435"/>
    <xdr:sp macro="" textlink="">
      <xdr:nvSpPr>
        <xdr:cNvPr id="5" name="TextBox 4"/>
        <xdr:cNvSpPr txBox="1"/>
      </xdr:nvSpPr>
      <xdr:spPr>
        <a:xfrm>
          <a:off x="1590675" y="5505450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476249</xdr:colOff>
      <xdr:row>28</xdr:row>
      <xdr:rowOff>95249</xdr:rowOff>
    </xdr:from>
    <xdr:to>
      <xdr:col>6</xdr:col>
      <xdr:colOff>219074</xdr:colOff>
      <xdr:row>31</xdr:row>
      <xdr:rowOff>228600</xdr:rowOff>
    </xdr:to>
    <xdr:sp macro="" textlink="">
      <xdr:nvSpPr>
        <xdr:cNvPr id="2" name="TextBox 1"/>
        <xdr:cNvSpPr txBox="1">
          <a:spLocks noChangeArrowheads="1"/>
        </xdr:cNvSpPr>
      </xdr:nvSpPr>
      <xdr:spPr bwMode="auto">
        <a:xfrm>
          <a:off x="2857499" y="5467349"/>
          <a:ext cx="1590675" cy="8477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นายสูดีมัน  ยูโซ๊ะ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361950</xdr:colOff>
      <xdr:row>28</xdr:row>
      <xdr:rowOff>57150</xdr:rowOff>
    </xdr:from>
    <xdr:to>
      <xdr:col>10</xdr:col>
      <xdr:colOff>647700</xdr:colOff>
      <xdr:row>31</xdr:row>
      <xdr:rowOff>95250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5114925" y="5429250"/>
          <a:ext cx="2228850" cy="752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นางธิดา  พนัสนอก 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ปลัดองค์การบริหารส่วนตำบลควนสตอ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11</xdr:col>
      <xdr:colOff>323848</xdr:colOff>
      <xdr:row>28</xdr:row>
      <xdr:rowOff>66675</xdr:rowOff>
    </xdr:from>
    <xdr:to>
      <xdr:col>15</xdr:col>
      <xdr:colOff>295274</xdr:colOff>
      <xdr:row>31</xdr:row>
      <xdr:rowOff>133350</xdr:rowOff>
    </xdr:to>
    <xdr:sp macro="" textlink="">
      <xdr:nvSpPr>
        <xdr:cNvPr id="4" name="TextBox 3"/>
        <xdr:cNvSpPr txBox="1">
          <a:spLocks noChangeArrowheads="1"/>
        </xdr:cNvSpPr>
      </xdr:nvSpPr>
      <xdr:spPr bwMode="auto">
        <a:xfrm>
          <a:off x="7705723" y="5438775"/>
          <a:ext cx="2266951" cy="781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(  นายดาเระ  นาปาเลน  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นากยกองค์การบริหารส่วนตำบลควนสตอ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oneCellAnchor>
    <xdr:from>
      <xdr:col>0</xdr:col>
      <xdr:colOff>247650</xdr:colOff>
      <xdr:row>28</xdr:row>
      <xdr:rowOff>171450</xdr:rowOff>
    </xdr:from>
    <xdr:ext cx="1733550" cy="744435"/>
    <xdr:sp macro="" textlink="">
      <xdr:nvSpPr>
        <xdr:cNvPr id="5" name="TextBox 4"/>
        <xdr:cNvSpPr txBox="1"/>
      </xdr:nvSpPr>
      <xdr:spPr>
        <a:xfrm>
          <a:off x="247650" y="5543550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438150</xdr:colOff>
      <xdr:row>36</xdr:row>
      <xdr:rowOff>0</xdr:rowOff>
    </xdr:from>
    <xdr:ext cx="1733550" cy="744435"/>
    <xdr:sp macro="" textlink="">
      <xdr:nvSpPr>
        <xdr:cNvPr id="5" name="TextBox 4"/>
        <xdr:cNvSpPr txBox="1"/>
      </xdr:nvSpPr>
      <xdr:spPr>
        <a:xfrm>
          <a:off x="438150" y="7029450"/>
          <a:ext cx="173355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..................................................(นางสาวนิศารัตน์  หมาดโซ๊ะ.) นักวิชาการเงินและบัญชี</a:t>
          </a:r>
        </a:p>
      </xdr:txBody>
    </xdr:sp>
    <xdr:clientData/>
  </xdr:oneCellAnchor>
  <xdr:oneCellAnchor>
    <xdr:from>
      <xdr:col>1</xdr:col>
      <xdr:colOff>809625</xdr:colOff>
      <xdr:row>36</xdr:row>
      <xdr:rowOff>38100</xdr:rowOff>
    </xdr:from>
    <xdr:ext cx="1676400" cy="744435"/>
    <xdr:sp macro="" textlink="">
      <xdr:nvSpPr>
        <xdr:cNvPr id="6" name="TextBox 5"/>
        <xdr:cNvSpPr txBox="1"/>
      </xdr:nvSpPr>
      <xdr:spPr>
        <a:xfrm>
          <a:off x="2552700" y="7067550"/>
          <a:ext cx="167640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................................................(นายสูดีมัน</a:t>
          </a:r>
          <a:r>
            <a:rPr lang="th-TH" sz="1500" baseline="0">
              <a:latin typeface="TH SarabunIT๙" pitchFamily="34" charset="-34"/>
              <a:cs typeface="TH SarabunIT๙" pitchFamily="34" charset="-34"/>
            </a:rPr>
            <a:t>  ยูโซ๊ะ</a:t>
          </a:r>
          <a:r>
            <a:rPr lang="th-TH" sz="1500">
              <a:latin typeface="TH SarabunIT๙" pitchFamily="34" charset="-34"/>
              <a:cs typeface="TH SarabunIT๙" pitchFamily="34" charset="-34"/>
            </a:rPr>
            <a:t>) ผู้อำนวยการกองคลัง</a:t>
          </a:r>
        </a:p>
      </xdr:txBody>
    </xdr:sp>
    <xdr:clientData/>
  </xdr:oneCellAnchor>
  <xdr:oneCellAnchor>
    <xdr:from>
      <xdr:col>8</xdr:col>
      <xdr:colOff>285749</xdr:colOff>
      <xdr:row>35</xdr:row>
      <xdr:rowOff>161925</xdr:rowOff>
    </xdr:from>
    <xdr:ext cx="2124075" cy="961802"/>
    <xdr:sp macro="" textlink="">
      <xdr:nvSpPr>
        <xdr:cNvPr id="7" name="TextBox 6"/>
        <xdr:cNvSpPr txBox="1"/>
      </xdr:nvSpPr>
      <xdr:spPr>
        <a:xfrm>
          <a:off x="7258049" y="7010400"/>
          <a:ext cx="2124075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          (นายดาเระ</a:t>
          </a:r>
          <a:r>
            <a:rPr lang="th-TH" sz="1500" baseline="0">
              <a:latin typeface="TH SarabunIT๙" pitchFamily="34" charset="-34"/>
              <a:cs typeface="TH SarabunIT๙" pitchFamily="34" charset="-34"/>
            </a:rPr>
            <a:t>   นาปาเลน</a:t>
          </a:r>
          <a:r>
            <a:rPr lang="th-TH" sz="1500">
              <a:latin typeface="TH SarabunIT๙" pitchFamily="34" charset="-34"/>
              <a:cs typeface="TH SarabunIT๙" pitchFamily="34" charset="-34"/>
            </a:rPr>
            <a:t>)            นายกองค์การบริหารส่วนตำบลควนสตอ</a:t>
          </a:r>
        </a:p>
      </xdr:txBody>
    </xdr:sp>
    <xdr:clientData/>
  </xdr:oneCellAnchor>
  <xdr:oneCellAnchor>
    <xdr:from>
      <xdr:col>4</xdr:col>
      <xdr:colOff>495300</xdr:colOff>
      <xdr:row>36</xdr:row>
      <xdr:rowOff>9525</xdr:rowOff>
    </xdr:from>
    <xdr:ext cx="2133600" cy="744435"/>
    <xdr:sp macro="" textlink="">
      <xdr:nvSpPr>
        <xdr:cNvPr id="8" name="TextBox 7"/>
        <xdr:cNvSpPr txBox="1"/>
      </xdr:nvSpPr>
      <xdr:spPr>
        <a:xfrm>
          <a:off x="4686300" y="7038975"/>
          <a:ext cx="2133600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...............................................              (นางธิดา</a:t>
          </a:r>
          <a:r>
            <a:rPr lang="th-TH" sz="1500" baseline="0">
              <a:latin typeface="TH SarabunIT๙" pitchFamily="34" charset="-34"/>
              <a:cs typeface="TH SarabunIT๙" pitchFamily="34" charset="-34"/>
            </a:rPr>
            <a:t>  พนัสนอก)                       ปลัดองค์การบริหารส่วนตำบลควนสตอ</a:t>
          </a:r>
          <a:endParaRPr lang="th-TH" sz="1500"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29</xdr:row>
      <xdr:rowOff>142876</xdr:rowOff>
    </xdr:from>
    <xdr:ext cx="1533525" cy="527067"/>
    <xdr:sp macro="" textlink="">
      <xdr:nvSpPr>
        <xdr:cNvPr id="2" name="TextBox 1"/>
        <xdr:cNvSpPr txBox="1"/>
      </xdr:nvSpPr>
      <xdr:spPr>
        <a:xfrm>
          <a:off x="19050" y="7724776"/>
          <a:ext cx="1533525" cy="5270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th-TH" sz="1400" b="0">
              <a:latin typeface="TH SarabunPSK" pitchFamily="34" charset="-34"/>
              <a:cs typeface="TH SarabunPSK" pitchFamily="34" charset="-34"/>
            </a:rPr>
            <a:t>นางสาวนิศารัตน์</a:t>
          </a:r>
          <a:r>
            <a:rPr lang="th-TH" sz="1400" b="0" baseline="0">
              <a:latin typeface="TH SarabunPSK" pitchFamily="34" charset="-34"/>
              <a:cs typeface="TH SarabunPSK" pitchFamily="34" charset="-34"/>
            </a:rPr>
            <a:t>  หมาดโซ๊ะ</a:t>
          </a:r>
        </a:p>
        <a:p>
          <a:r>
            <a:rPr lang="th-TH" sz="1400" b="0" baseline="0">
              <a:latin typeface="TH SarabunPSK" pitchFamily="34" charset="-34"/>
              <a:cs typeface="TH SarabunPSK" pitchFamily="34" charset="-34"/>
            </a:rPr>
            <a:t>นักวิชาการ</a:t>
          </a:r>
          <a:r>
            <a:rPr lang="th-TH" sz="1600" b="0" baseline="0">
              <a:latin typeface="TH SarabunPSK" pitchFamily="34" charset="-34"/>
              <a:cs typeface="TH SarabunPSK" pitchFamily="34" charset="-34"/>
            </a:rPr>
            <a:t>เงิน</a:t>
          </a:r>
          <a:r>
            <a:rPr lang="th-TH" sz="1400" b="0" baseline="0">
              <a:latin typeface="TH SarabunPSK" pitchFamily="34" charset="-34"/>
              <a:cs typeface="TH SarabunPSK" pitchFamily="34" charset="-34"/>
            </a:rPr>
            <a:t>และบัญชี</a:t>
          </a:r>
          <a:endParaRPr lang="th-TH" sz="1400" b="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3</xdr:col>
      <xdr:colOff>695325</xdr:colOff>
      <xdr:row>29</xdr:row>
      <xdr:rowOff>161925</xdr:rowOff>
    </xdr:from>
    <xdr:ext cx="1287019" cy="556050"/>
    <xdr:sp macro="" textlink="">
      <xdr:nvSpPr>
        <xdr:cNvPr id="3" name="TextBox 2"/>
        <xdr:cNvSpPr txBox="1"/>
      </xdr:nvSpPr>
      <xdr:spPr>
        <a:xfrm>
          <a:off x="1666875" y="7743825"/>
          <a:ext cx="1287019" cy="556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นายสูดีมัน  ยูโซ๊ะ</a:t>
          </a:r>
        </a:p>
        <a:p>
          <a:r>
            <a:rPr lang="th-TH" sz="1600">
              <a:latin typeface="TH SarabunPSK" pitchFamily="34" charset="-34"/>
              <a:cs typeface="TH SarabunPSK" pitchFamily="34" charset="-34"/>
            </a:rPr>
            <a:t>ผู้อำนวยการกองคลัง</a:t>
          </a:r>
        </a:p>
      </xdr:txBody>
    </xdr:sp>
    <xdr:clientData/>
  </xdr:oneCellAnchor>
  <xdr:oneCellAnchor>
    <xdr:from>
      <xdr:col>3</xdr:col>
      <xdr:colOff>2028825</xdr:colOff>
      <xdr:row>29</xdr:row>
      <xdr:rowOff>152400</xdr:rowOff>
    </xdr:from>
    <xdr:ext cx="1355949" cy="556050"/>
    <xdr:sp macro="" textlink="">
      <xdr:nvSpPr>
        <xdr:cNvPr id="4" name="TextBox 3"/>
        <xdr:cNvSpPr txBox="1"/>
      </xdr:nvSpPr>
      <xdr:spPr>
        <a:xfrm>
          <a:off x="3000375" y="7734300"/>
          <a:ext cx="1355949" cy="556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นางธิดา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พนัสนอก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ปลัด อบต.ควนสตอ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3</xdr:col>
      <xdr:colOff>3514725</xdr:colOff>
      <xdr:row>29</xdr:row>
      <xdr:rowOff>190500</xdr:rowOff>
    </xdr:from>
    <xdr:ext cx="1355949" cy="556050"/>
    <xdr:sp macro="" textlink="">
      <xdr:nvSpPr>
        <xdr:cNvPr id="5" name="TextBox 4"/>
        <xdr:cNvSpPr txBox="1"/>
      </xdr:nvSpPr>
      <xdr:spPr>
        <a:xfrm>
          <a:off x="4486275" y="7772400"/>
          <a:ext cx="1355949" cy="556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นายดาเระ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นาปาเลน</a:t>
          </a:r>
        </a:p>
        <a:p>
          <a:r>
            <a:rPr lang="th-TH" sz="1600">
              <a:latin typeface="TH SarabunPSK" pitchFamily="34" charset="-34"/>
              <a:cs typeface="TH SarabunPSK" pitchFamily="34" charset="-34"/>
            </a:rPr>
            <a:t>นายก อบต.ควนสตอ</a:t>
          </a:r>
        </a:p>
      </xdr:txBody>
    </xdr:sp>
    <xdr:clientData/>
  </xdr:oneCellAnchor>
  <xdr:oneCellAnchor>
    <xdr:from>
      <xdr:col>0</xdr:col>
      <xdr:colOff>38100</xdr:colOff>
      <xdr:row>35</xdr:row>
      <xdr:rowOff>28575</xdr:rowOff>
    </xdr:from>
    <xdr:ext cx="1749290" cy="324191"/>
    <xdr:sp macro="" textlink="">
      <xdr:nvSpPr>
        <xdr:cNvPr id="6" name="TextBox 5"/>
        <xdr:cNvSpPr txBox="1"/>
      </xdr:nvSpPr>
      <xdr:spPr>
        <a:xfrm>
          <a:off x="38100" y="9153525"/>
          <a:ext cx="174929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600" b="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3</xdr:col>
      <xdr:colOff>723900</xdr:colOff>
      <xdr:row>90</xdr:row>
      <xdr:rowOff>0</xdr:rowOff>
    </xdr:from>
    <xdr:ext cx="1287019" cy="556050"/>
    <xdr:sp macro="" textlink="">
      <xdr:nvSpPr>
        <xdr:cNvPr id="8" name="TextBox 7"/>
        <xdr:cNvSpPr txBox="1"/>
      </xdr:nvSpPr>
      <xdr:spPr>
        <a:xfrm>
          <a:off x="1695450" y="26365200"/>
          <a:ext cx="1287019" cy="556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   นายสูดีมัน  ยูโซ๊ะ</a:t>
          </a:r>
        </a:p>
        <a:p>
          <a:r>
            <a:rPr lang="th-TH" sz="1600">
              <a:latin typeface="TH SarabunPSK" pitchFamily="34" charset="-34"/>
              <a:cs typeface="TH SarabunPSK" pitchFamily="34" charset="-34"/>
            </a:rPr>
            <a:t>ผู้อำนวยการกองคลัง</a:t>
          </a:r>
        </a:p>
      </xdr:txBody>
    </xdr:sp>
    <xdr:clientData/>
  </xdr:oneCellAnchor>
  <xdr:oneCellAnchor>
    <xdr:from>
      <xdr:col>0</xdr:col>
      <xdr:colOff>0</xdr:colOff>
      <xdr:row>90</xdr:row>
      <xdr:rowOff>0</xdr:rowOff>
    </xdr:from>
    <xdr:ext cx="1758815" cy="556050"/>
    <xdr:sp macro="" textlink="">
      <xdr:nvSpPr>
        <xdr:cNvPr id="9" name="TextBox 8"/>
        <xdr:cNvSpPr txBox="1"/>
      </xdr:nvSpPr>
      <xdr:spPr>
        <a:xfrm>
          <a:off x="0" y="26365200"/>
          <a:ext cx="1758815" cy="556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th-TH" sz="1600" b="0">
              <a:latin typeface="TH SarabunPSK" pitchFamily="34" charset="-34"/>
              <a:cs typeface="TH SarabunPSK" pitchFamily="34" charset="-34"/>
            </a:rPr>
            <a:t>นางสาวนิศารัตน์</a:t>
          </a:r>
          <a:r>
            <a:rPr lang="th-TH" sz="1600" b="0" baseline="0">
              <a:latin typeface="TH SarabunPSK" pitchFamily="34" charset="-34"/>
              <a:cs typeface="TH SarabunPSK" pitchFamily="34" charset="-34"/>
            </a:rPr>
            <a:t>  หมาดโซ๊ะ</a:t>
          </a:r>
        </a:p>
        <a:p>
          <a:r>
            <a:rPr lang="th-TH" sz="1600" b="0" baseline="0">
              <a:latin typeface="TH SarabunPSK" pitchFamily="34" charset="-34"/>
              <a:cs typeface="TH SarabunPSK" pitchFamily="34" charset="-34"/>
            </a:rPr>
            <a:t>  นักวิชาการเงินและบัญชี</a:t>
          </a:r>
          <a:endParaRPr lang="th-TH" sz="1600" b="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3</xdr:col>
      <xdr:colOff>2143125</xdr:colOff>
      <xdr:row>90</xdr:row>
      <xdr:rowOff>28575</xdr:rowOff>
    </xdr:from>
    <xdr:ext cx="1355949" cy="556050"/>
    <xdr:sp macro="" textlink="">
      <xdr:nvSpPr>
        <xdr:cNvPr id="11" name="TextBox 10"/>
        <xdr:cNvSpPr txBox="1"/>
      </xdr:nvSpPr>
      <xdr:spPr>
        <a:xfrm>
          <a:off x="3114675" y="26393775"/>
          <a:ext cx="1355949" cy="556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นางธิดา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พนัสนอก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ปลัด อบต.ควนสตอ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4</xdr:col>
      <xdr:colOff>38100</xdr:colOff>
      <xdr:row>90</xdr:row>
      <xdr:rowOff>38100</xdr:rowOff>
    </xdr:from>
    <xdr:ext cx="1355949" cy="556050"/>
    <xdr:sp macro="" textlink="">
      <xdr:nvSpPr>
        <xdr:cNvPr id="13" name="TextBox 12"/>
        <xdr:cNvSpPr txBox="1"/>
      </xdr:nvSpPr>
      <xdr:spPr>
        <a:xfrm>
          <a:off x="4591050" y="26403300"/>
          <a:ext cx="1355949" cy="556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นายดาเระ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นาปาเลน</a:t>
          </a:r>
        </a:p>
        <a:p>
          <a:r>
            <a:rPr lang="th-TH" sz="1600">
              <a:latin typeface="TH SarabunPSK" pitchFamily="34" charset="-34"/>
              <a:cs typeface="TH SarabunPSK" pitchFamily="34" charset="-34"/>
            </a:rPr>
            <a:t> นายก อบต.ควนสตอ</a:t>
          </a:r>
        </a:p>
      </xdr:txBody>
    </xdr:sp>
    <xdr:clientData/>
  </xdr:oneCellAnchor>
  <xdr:oneCellAnchor>
    <xdr:from>
      <xdr:col>0</xdr:col>
      <xdr:colOff>152400</xdr:colOff>
      <xdr:row>116</xdr:row>
      <xdr:rowOff>133350</xdr:rowOff>
    </xdr:from>
    <xdr:ext cx="1758815" cy="556050"/>
    <xdr:sp macro="" textlink="">
      <xdr:nvSpPr>
        <xdr:cNvPr id="14" name="TextBox 13"/>
        <xdr:cNvSpPr txBox="1"/>
      </xdr:nvSpPr>
      <xdr:spPr>
        <a:xfrm>
          <a:off x="152400" y="30861000"/>
          <a:ext cx="1758815" cy="556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th-TH" sz="1600" b="0">
              <a:latin typeface="TH SarabunPSK" pitchFamily="34" charset="-34"/>
              <a:cs typeface="TH SarabunPSK" pitchFamily="34" charset="-34"/>
            </a:rPr>
            <a:t>นางสาวนิศารัตน์</a:t>
          </a:r>
          <a:r>
            <a:rPr lang="th-TH" sz="1600" b="0" baseline="0">
              <a:latin typeface="TH SarabunPSK" pitchFamily="34" charset="-34"/>
              <a:cs typeface="TH SarabunPSK" pitchFamily="34" charset="-34"/>
            </a:rPr>
            <a:t>  หมาดโซ๊ะ</a:t>
          </a:r>
        </a:p>
        <a:p>
          <a:r>
            <a:rPr lang="th-TH" sz="1600" b="0" baseline="0">
              <a:latin typeface="TH SarabunPSK" pitchFamily="34" charset="-34"/>
              <a:cs typeface="TH SarabunPSK" pitchFamily="34" charset="-34"/>
            </a:rPr>
            <a:t>  นักวิชาการเงินและบัญชี</a:t>
          </a:r>
          <a:endParaRPr lang="th-TH" sz="1600" b="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3</xdr:col>
      <xdr:colOff>847725</xdr:colOff>
      <xdr:row>116</xdr:row>
      <xdr:rowOff>152400</xdr:rowOff>
    </xdr:from>
    <xdr:ext cx="1287019" cy="556050"/>
    <xdr:sp macro="" textlink="">
      <xdr:nvSpPr>
        <xdr:cNvPr id="15" name="TextBox 14"/>
        <xdr:cNvSpPr txBox="1"/>
      </xdr:nvSpPr>
      <xdr:spPr>
        <a:xfrm>
          <a:off x="1819275" y="30880050"/>
          <a:ext cx="1287019" cy="556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  นายสูดีมัน  ยูโซ๊ะ</a:t>
          </a:r>
        </a:p>
        <a:p>
          <a:r>
            <a:rPr lang="th-TH" sz="1600">
              <a:latin typeface="TH SarabunPSK" pitchFamily="34" charset="-34"/>
              <a:cs typeface="TH SarabunPSK" pitchFamily="34" charset="-34"/>
            </a:rPr>
            <a:t>ผู้อำนวยการกองคลัง</a:t>
          </a:r>
        </a:p>
      </xdr:txBody>
    </xdr:sp>
    <xdr:clientData/>
  </xdr:oneCellAnchor>
  <xdr:oneCellAnchor>
    <xdr:from>
      <xdr:col>3</xdr:col>
      <xdr:colOff>2105025</xdr:colOff>
      <xdr:row>116</xdr:row>
      <xdr:rowOff>123825</xdr:rowOff>
    </xdr:from>
    <xdr:ext cx="1355949" cy="556050"/>
    <xdr:sp macro="" textlink="">
      <xdr:nvSpPr>
        <xdr:cNvPr id="16" name="TextBox 15"/>
        <xdr:cNvSpPr txBox="1"/>
      </xdr:nvSpPr>
      <xdr:spPr>
        <a:xfrm>
          <a:off x="3076575" y="30851475"/>
          <a:ext cx="1355949" cy="556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นางธิดา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พนัสนอก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ปลัด อบต.ควนสตอ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4</xdr:col>
      <xdr:colOff>9525</xdr:colOff>
      <xdr:row>116</xdr:row>
      <xdr:rowOff>152400</xdr:rowOff>
    </xdr:from>
    <xdr:ext cx="1355949" cy="556050"/>
    <xdr:sp macro="" textlink="">
      <xdr:nvSpPr>
        <xdr:cNvPr id="17" name="TextBox 16"/>
        <xdr:cNvSpPr txBox="1"/>
      </xdr:nvSpPr>
      <xdr:spPr>
        <a:xfrm>
          <a:off x="4562475" y="30880050"/>
          <a:ext cx="1355949" cy="556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นายดาเระ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นาปาเลน</a:t>
          </a:r>
        </a:p>
        <a:p>
          <a:r>
            <a:rPr lang="th-TH" sz="1600">
              <a:latin typeface="TH SarabunPSK" pitchFamily="34" charset="-34"/>
              <a:cs typeface="TH SarabunPSK" pitchFamily="34" charset="-34"/>
            </a:rPr>
            <a:t>นายก อบต.ควนสตอ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/>
  </sheetPr>
  <dimension ref="A1:M70"/>
  <sheetViews>
    <sheetView view="pageBreakPreview" topLeftCell="A43" zoomScaleSheetLayoutView="100" workbookViewId="0">
      <selection activeCell="F30" sqref="F30"/>
    </sheetView>
  </sheetViews>
  <sheetFormatPr defaultRowHeight="14.25"/>
  <cols>
    <col min="7" max="7" width="9.125" style="222" bestFit="1" customWidth="1"/>
    <col min="8" max="8" width="7.25" customWidth="1"/>
    <col min="9" max="9" width="4" customWidth="1"/>
    <col min="10" max="10" width="15.25" customWidth="1"/>
    <col min="12" max="13" width="13.125" bestFit="1" customWidth="1"/>
  </cols>
  <sheetData>
    <row r="1" spans="1:12" ht="21">
      <c r="A1" s="1"/>
      <c r="B1" s="1"/>
      <c r="C1" s="1"/>
      <c r="D1" s="1"/>
      <c r="E1" s="1"/>
      <c r="F1" s="1"/>
      <c r="G1" s="210"/>
      <c r="H1" s="1"/>
      <c r="I1" s="1"/>
      <c r="J1" s="2"/>
    </row>
    <row r="2" spans="1:12" ht="21">
      <c r="A2" s="294" t="s">
        <v>0</v>
      </c>
      <c r="B2" s="294"/>
      <c r="C2" s="294"/>
      <c r="D2" s="294"/>
      <c r="E2" s="294"/>
      <c r="F2" s="294"/>
      <c r="G2" s="294"/>
      <c r="H2" s="294"/>
      <c r="I2" s="294"/>
      <c r="J2" s="294"/>
    </row>
    <row r="3" spans="1:12" ht="21">
      <c r="A3" s="294" t="s">
        <v>1</v>
      </c>
      <c r="B3" s="294"/>
      <c r="C3" s="294"/>
      <c r="D3" s="294"/>
      <c r="E3" s="294"/>
      <c r="F3" s="294"/>
      <c r="G3" s="294"/>
      <c r="H3" s="294"/>
      <c r="I3" s="294"/>
      <c r="J3" s="294"/>
    </row>
    <row r="4" spans="1:12" ht="21">
      <c r="A4" s="294" t="s">
        <v>397</v>
      </c>
      <c r="B4" s="294"/>
      <c r="C4" s="294"/>
      <c r="D4" s="294"/>
      <c r="E4" s="294"/>
      <c r="F4" s="294"/>
      <c r="G4" s="294"/>
      <c r="H4" s="294"/>
      <c r="I4" s="294"/>
      <c r="J4" s="294"/>
    </row>
    <row r="5" spans="1:12" ht="21">
      <c r="A5" s="253"/>
      <c r="B5" s="253"/>
      <c r="C5" s="253"/>
      <c r="D5" s="253"/>
      <c r="E5" s="253"/>
      <c r="F5" s="253"/>
      <c r="G5" s="264"/>
      <c r="H5" s="253"/>
      <c r="I5" s="253"/>
      <c r="J5" s="254"/>
    </row>
    <row r="6" spans="1:12" ht="21">
      <c r="A6" s="253"/>
      <c r="B6" s="253"/>
      <c r="C6" s="253"/>
      <c r="D6" s="253"/>
      <c r="E6" s="253"/>
      <c r="F6" s="253"/>
      <c r="G6" s="265" t="s">
        <v>373</v>
      </c>
      <c r="H6" s="253"/>
      <c r="I6" s="253"/>
      <c r="J6" s="254"/>
    </row>
    <row r="7" spans="1:12" ht="21">
      <c r="A7" s="255" t="s">
        <v>374</v>
      </c>
      <c r="B7" s="255"/>
      <c r="C7" s="255"/>
      <c r="D7" s="253"/>
      <c r="E7" s="253"/>
      <c r="F7" s="253"/>
      <c r="G7" s="264">
        <v>1</v>
      </c>
      <c r="H7" s="253"/>
      <c r="I7" s="253"/>
      <c r="J7" s="256">
        <f>'หมายเหตุ 1'!C27</f>
        <v>81918705.419999987</v>
      </c>
    </row>
    <row r="8" spans="1:12" ht="21">
      <c r="A8" s="255" t="s">
        <v>375</v>
      </c>
      <c r="B8" s="255"/>
      <c r="C8" s="255"/>
      <c r="D8" s="253"/>
      <c r="E8" s="253"/>
      <c r="F8" s="253"/>
      <c r="G8" s="264"/>
      <c r="H8" s="253"/>
      <c r="I8" s="253"/>
      <c r="J8" s="254"/>
    </row>
    <row r="9" spans="1:12" ht="21">
      <c r="A9" s="255"/>
      <c r="B9" s="255" t="s">
        <v>376</v>
      </c>
      <c r="C9" s="255"/>
      <c r="D9" s="253"/>
      <c r="E9" s="253"/>
      <c r="F9" s="253"/>
      <c r="G9" s="264"/>
      <c r="H9" s="253"/>
      <c r="I9" s="253"/>
      <c r="J9" s="254"/>
    </row>
    <row r="10" spans="1:12" ht="21">
      <c r="A10" s="253"/>
      <c r="B10" s="253"/>
      <c r="C10" s="253" t="s">
        <v>377</v>
      </c>
      <c r="D10" s="253"/>
      <c r="E10" s="253"/>
      <c r="F10" s="253"/>
      <c r="G10" s="264">
        <v>2</v>
      </c>
      <c r="H10" s="253"/>
      <c r="I10" s="253"/>
      <c r="J10" s="254">
        <f>'หมายเหตุ 2'!H24</f>
        <v>24936817.850000001</v>
      </c>
    </row>
    <row r="11" spans="1:12" ht="21">
      <c r="A11" s="253"/>
      <c r="B11" s="253"/>
      <c r="C11" s="253" t="s">
        <v>378</v>
      </c>
      <c r="D11" s="253"/>
      <c r="E11" s="253"/>
      <c r="F11" s="253"/>
      <c r="G11" s="264"/>
      <c r="H11" s="253"/>
      <c r="I11" s="253"/>
      <c r="J11" s="254">
        <v>0</v>
      </c>
    </row>
    <row r="12" spans="1:12" ht="21">
      <c r="A12" s="253"/>
      <c r="B12" s="253"/>
      <c r="C12" s="253" t="s">
        <v>214</v>
      </c>
      <c r="D12" s="253"/>
      <c r="E12" s="253"/>
      <c r="F12" s="253"/>
      <c r="G12" s="264">
        <v>3</v>
      </c>
      <c r="H12" s="253"/>
      <c r="I12" s="253"/>
      <c r="J12" s="254">
        <f>'หมายเหตุ 3'!F9</f>
        <v>89600</v>
      </c>
    </row>
    <row r="13" spans="1:12" ht="21">
      <c r="A13" s="253"/>
      <c r="B13" s="253"/>
      <c r="C13" s="253" t="s">
        <v>276</v>
      </c>
      <c r="D13" s="253"/>
      <c r="E13" s="253"/>
      <c r="F13" s="253"/>
      <c r="G13" s="264">
        <v>4</v>
      </c>
      <c r="H13" s="253"/>
      <c r="I13" s="253"/>
      <c r="J13" s="254">
        <f>'หมายเหตุ 4'!G27</f>
        <v>14786.18</v>
      </c>
    </row>
    <row r="14" spans="1:12" ht="21">
      <c r="A14" s="253"/>
      <c r="B14" s="253"/>
      <c r="C14" s="253" t="s">
        <v>379</v>
      </c>
      <c r="D14" s="253"/>
      <c r="E14" s="253"/>
      <c r="F14" s="253"/>
      <c r="G14" s="264">
        <v>5</v>
      </c>
      <c r="H14" s="253"/>
      <c r="I14" s="253"/>
      <c r="J14" s="254">
        <f>'หมายเหตุ 5.'!D30</f>
        <v>518543.4</v>
      </c>
      <c r="L14">
        <f>519943.4-518543.4</f>
        <v>1400</v>
      </c>
    </row>
    <row r="15" spans="1:12" ht="21">
      <c r="A15" s="253"/>
      <c r="B15" s="253"/>
      <c r="C15" s="253" t="s">
        <v>380</v>
      </c>
      <c r="D15" s="253"/>
      <c r="E15" s="253"/>
      <c r="F15" s="253"/>
      <c r="G15" s="264"/>
      <c r="H15" s="253"/>
      <c r="I15" s="253"/>
      <c r="J15" s="254">
        <v>89600</v>
      </c>
    </row>
    <row r="16" spans="1:12" ht="21">
      <c r="A16" s="253"/>
      <c r="B16" s="253"/>
      <c r="C16" s="253" t="s">
        <v>381</v>
      </c>
      <c r="D16" s="253"/>
      <c r="E16" s="253"/>
      <c r="F16" s="253"/>
      <c r="G16" s="264"/>
      <c r="H16" s="253"/>
      <c r="I16" s="253"/>
      <c r="J16" s="254">
        <v>0</v>
      </c>
    </row>
    <row r="17" spans="1:13" ht="21">
      <c r="A17" s="253"/>
      <c r="B17" s="255"/>
      <c r="C17" s="255" t="s">
        <v>382</v>
      </c>
      <c r="D17" s="255"/>
      <c r="E17" s="253"/>
      <c r="F17" s="253"/>
      <c r="G17" s="264"/>
      <c r="H17" s="253"/>
      <c r="I17" s="253"/>
      <c r="J17" s="254"/>
    </row>
    <row r="18" spans="1:13" ht="21">
      <c r="A18" s="253"/>
      <c r="B18" s="255" t="s">
        <v>383</v>
      </c>
      <c r="C18" s="255"/>
      <c r="D18" s="255"/>
      <c r="E18" s="253"/>
      <c r="F18" s="253"/>
      <c r="G18" s="264"/>
      <c r="H18" s="253"/>
      <c r="I18" s="253"/>
      <c r="J18" s="254"/>
    </row>
    <row r="19" spans="1:13" ht="21">
      <c r="A19" s="253"/>
      <c r="B19" s="253"/>
      <c r="C19" s="253" t="s">
        <v>384</v>
      </c>
      <c r="D19" s="253"/>
      <c r="E19" s="253"/>
      <c r="F19" s="253"/>
      <c r="G19" s="264"/>
      <c r="H19" s="253"/>
      <c r="I19" s="253"/>
      <c r="J19" s="254">
        <v>0</v>
      </c>
    </row>
    <row r="20" spans="1:13" ht="21">
      <c r="A20" s="253"/>
      <c r="B20" s="253"/>
      <c r="C20" s="255" t="s">
        <v>385</v>
      </c>
      <c r="D20" s="253"/>
      <c r="E20" s="253"/>
      <c r="F20" s="253"/>
      <c r="G20" s="264"/>
      <c r="H20" s="253"/>
      <c r="I20" s="253"/>
      <c r="J20" s="254"/>
    </row>
    <row r="21" spans="1:13" ht="21">
      <c r="A21" s="253"/>
      <c r="B21" s="253"/>
      <c r="C21" s="253"/>
      <c r="D21" s="253"/>
      <c r="E21" s="253"/>
      <c r="F21" s="253"/>
      <c r="G21" s="264"/>
      <c r="H21" s="253"/>
      <c r="I21" s="253"/>
      <c r="J21" s="254"/>
      <c r="M21" s="139" t="e">
        <f>J24-#REF!</f>
        <v>#REF!</v>
      </c>
    </row>
    <row r="22" spans="1:13" ht="21.75" thickBot="1">
      <c r="A22" s="253"/>
      <c r="B22" s="255" t="s">
        <v>386</v>
      </c>
      <c r="C22" s="253"/>
      <c r="D22" s="253"/>
      <c r="E22" s="253"/>
      <c r="F22" s="253"/>
      <c r="G22" s="264"/>
      <c r="H22" s="253"/>
      <c r="I22" s="253"/>
      <c r="J22" s="257">
        <f>SUM(J10:J21)</f>
        <v>25649347.43</v>
      </c>
    </row>
    <row r="23" spans="1:13" ht="21.75" thickTop="1">
      <c r="A23" s="253"/>
      <c r="B23" s="253"/>
      <c r="C23" s="253"/>
      <c r="D23" s="253"/>
      <c r="E23" s="253"/>
      <c r="F23" s="253"/>
      <c r="G23" s="264"/>
      <c r="H23" s="253"/>
      <c r="I23" s="253"/>
      <c r="J23" s="254"/>
    </row>
    <row r="24" spans="1:13" ht="21">
      <c r="A24" s="253"/>
      <c r="B24" s="253"/>
      <c r="C24" s="253"/>
      <c r="D24" s="253"/>
      <c r="E24" s="253"/>
      <c r="F24" s="253"/>
      <c r="G24" s="264"/>
      <c r="H24" s="253"/>
      <c r="I24" s="253"/>
      <c r="J24" s="254"/>
    </row>
    <row r="25" spans="1:13" ht="21">
      <c r="A25" s="253"/>
      <c r="B25" s="253"/>
      <c r="C25" s="253"/>
      <c r="D25" s="253"/>
      <c r="E25" s="253"/>
      <c r="F25" s="253"/>
      <c r="G25" s="264"/>
      <c r="H25" s="253"/>
      <c r="I25" s="253"/>
      <c r="J25" s="254"/>
    </row>
    <row r="26" spans="1:13" ht="21">
      <c r="A26" s="253"/>
      <c r="B26" s="253"/>
      <c r="C26" s="253"/>
      <c r="D26" s="253"/>
      <c r="E26" s="253"/>
      <c r="F26" s="253"/>
      <c r="G26" s="264"/>
      <c r="H26" s="253"/>
      <c r="I26" s="253"/>
      <c r="J26" s="254"/>
    </row>
    <row r="27" spans="1:13" ht="21">
      <c r="A27" s="253"/>
      <c r="B27" s="253"/>
      <c r="C27" s="253"/>
      <c r="D27" s="253"/>
      <c r="E27" s="253"/>
      <c r="F27" s="253"/>
      <c r="G27" s="264"/>
      <c r="H27" s="253"/>
      <c r="I27" s="253"/>
      <c r="J27" s="254"/>
    </row>
    <row r="28" spans="1:13" ht="21">
      <c r="A28" s="253"/>
      <c r="B28" s="253"/>
      <c r="C28" s="253"/>
      <c r="D28" s="253"/>
      <c r="E28" s="253"/>
      <c r="F28" s="253"/>
      <c r="G28" s="264"/>
      <c r="H28" s="253"/>
      <c r="I28" s="253"/>
      <c r="J28" s="254"/>
    </row>
    <row r="29" spans="1:13" ht="21">
      <c r="A29" s="253"/>
      <c r="B29" s="253"/>
      <c r="C29" s="253"/>
      <c r="D29" s="253"/>
      <c r="E29" s="253"/>
      <c r="F29" s="253"/>
      <c r="G29" s="264"/>
      <c r="H29" s="253"/>
      <c r="I29" s="253"/>
      <c r="J29" s="254"/>
    </row>
    <row r="30" spans="1:13" ht="21">
      <c r="A30" s="253"/>
      <c r="B30" s="253"/>
      <c r="C30" s="253"/>
      <c r="D30" s="253"/>
      <c r="E30" s="253"/>
      <c r="F30" s="253"/>
      <c r="G30" s="264"/>
      <c r="H30" s="253"/>
      <c r="I30" s="253"/>
      <c r="J30" s="254"/>
    </row>
    <row r="31" spans="1:13" ht="21">
      <c r="A31" s="253"/>
      <c r="B31" s="253"/>
      <c r="C31" s="253"/>
      <c r="D31" s="253"/>
      <c r="E31" s="253"/>
      <c r="F31" s="253"/>
      <c r="G31" s="264"/>
      <c r="H31" s="253"/>
      <c r="I31" s="253"/>
      <c r="J31" s="254"/>
    </row>
    <row r="32" spans="1:13" ht="21">
      <c r="A32" s="253"/>
      <c r="B32" s="253"/>
      <c r="C32" s="253"/>
      <c r="D32" s="253"/>
      <c r="E32" s="253"/>
      <c r="F32" s="253"/>
      <c r="G32" s="264"/>
      <c r="H32" s="253"/>
      <c r="I32" s="253"/>
      <c r="J32" s="254"/>
    </row>
    <row r="33" spans="1:12" ht="21">
      <c r="A33" s="253"/>
      <c r="B33" s="253"/>
      <c r="C33" s="253"/>
      <c r="D33" s="253"/>
      <c r="E33" s="253"/>
      <c r="F33" s="253"/>
      <c r="G33" s="264"/>
      <c r="H33" s="253"/>
      <c r="I33" s="253"/>
      <c r="J33" s="254"/>
    </row>
    <row r="34" spans="1:12" ht="21">
      <c r="A34" s="253"/>
      <c r="B34" s="253"/>
      <c r="C34" s="253"/>
      <c r="D34" s="253"/>
      <c r="E34" s="253"/>
      <c r="F34" s="253"/>
      <c r="G34" s="264"/>
      <c r="H34" s="253"/>
      <c r="I34" s="253"/>
      <c r="J34" s="254"/>
    </row>
    <row r="35" spans="1:12" ht="21">
      <c r="A35" s="253"/>
      <c r="B35" s="253"/>
      <c r="C35" s="253"/>
      <c r="D35" s="253"/>
      <c r="E35" s="253"/>
      <c r="F35" s="253"/>
      <c r="G35" s="264"/>
      <c r="H35" s="253"/>
      <c r="I35" s="253"/>
      <c r="J35" s="254"/>
    </row>
    <row r="36" spans="1:12" ht="21">
      <c r="A36" s="253"/>
      <c r="B36" s="253"/>
      <c r="C36" s="253"/>
      <c r="D36" s="253"/>
      <c r="E36" s="253"/>
      <c r="F36" s="253"/>
      <c r="G36" s="264"/>
      <c r="H36" s="253"/>
      <c r="I36" s="253"/>
      <c r="J36" s="254"/>
    </row>
    <row r="37" spans="1:12" ht="21">
      <c r="A37" s="253"/>
      <c r="B37" s="253"/>
      <c r="C37" s="253"/>
      <c r="D37" s="253"/>
      <c r="E37" s="253"/>
      <c r="F37" s="253"/>
      <c r="G37" s="264"/>
      <c r="H37" s="253"/>
      <c r="I37" s="253"/>
      <c r="J37" s="254"/>
    </row>
    <row r="38" spans="1:12" ht="21">
      <c r="A38" s="253"/>
      <c r="B38" s="253"/>
      <c r="C38" s="253"/>
      <c r="D38" s="253"/>
      <c r="E38" s="253"/>
      <c r="F38" s="253"/>
      <c r="G38" s="264"/>
      <c r="H38" s="253"/>
      <c r="I38" s="253"/>
      <c r="J38" s="254"/>
    </row>
    <row r="39" spans="1:12" ht="21">
      <c r="A39" s="294" t="s">
        <v>0</v>
      </c>
      <c r="B39" s="294"/>
      <c r="C39" s="294"/>
      <c r="D39" s="294"/>
      <c r="E39" s="294"/>
      <c r="F39" s="294"/>
      <c r="G39" s="294"/>
      <c r="H39" s="294"/>
      <c r="I39" s="294"/>
      <c r="J39" s="294"/>
    </row>
    <row r="40" spans="1:12" ht="21">
      <c r="A40" s="294" t="s">
        <v>1</v>
      </c>
      <c r="B40" s="294"/>
      <c r="C40" s="294"/>
      <c r="D40" s="294"/>
      <c r="E40" s="294"/>
      <c r="F40" s="294"/>
      <c r="G40" s="294"/>
      <c r="H40" s="294"/>
      <c r="I40" s="294"/>
      <c r="J40" s="294"/>
    </row>
    <row r="41" spans="1:12" ht="21">
      <c r="A41" s="294" t="s">
        <v>397</v>
      </c>
      <c r="B41" s="294"/>
      <c r="C41" s="294"/>
      <c r="D41" s="294"/>
      <c r="E41" s="294"/>
      <c r="F41" s="294"/>
      <c r="G41" s="294"/>
      <c r="H41" s="294"/>
      <c r="I41" s="294"/>
      <c r="J41" s="294"/>
    </row>
    <row r="42" spans="1:12" ht="21">
      <c r="A42" s="255" t="s">
        <v>2</v>
      </c>
      <c r="B42" s="253"/>
      <c r="C42" s="253"/>
      <c r="D42" s="253"/>
      <c r="E42" s="253"/>
      <c r="F42" s="253"/>
      <c r="G42" s="264"/>
      <c r="H42" s="253"/>
      <c r="I42" s="253"/>
      <c r="J42" s="256">
        <f>J7</f>
        <v>81918705.419999987</v>
      </c>
    </row>
    <row r="43" spans="1:12" ht="21">
      <c r="A43" s="255" t="s">
        <v>3</v>
      </c>
      <c r="B43" s="253"/>
      <c r="C43" s="253"/>
      <c r="D43" s="253"/>
      <c r="E43" s="253"/>
      <c r="F43" s="253"/>
      <c r="G43" s="265" t="s">
        <v>4</v>
      </c>
      <c r="H43" s="253"/>
      <c r="I43" s="253"/>
      <c r="J43" s="254"/>
    </row>
    <row r="44" spans="1:12" ht="21">
      <c r="A44" s="253"/>
      <c r="B44" s="255" t="s">
        <v>5</v>
      </c>
      <c r="C44" s="253"/>
      <c r="D44" s="253"/>
      <c r="E44" s="253"/>
      <c r="F44" s="253"/>
      <c r="G44" s="264"/>
      <c r="H44" s="253"/>
      <c r="I44" s="253"/>
      <c r="J44" s="254"/>
    </row>
    <row r="45" spans="1:12" ht="21">
      <c r="A45" s="253"/>
      <c r="B45" s="253"/>
      <c r="C45" s="253" t="s">
        <v>6</v>
      </c>
      <c r="D45" s="253"/>
      <c r="E45" s="253"/>
      <c r="F45" s="253"/>
      <c r="G45" s="264">
        <v>6</v>
      </c>
      <c r="H45" s="253"/>
      <c r="I45" s="253"/>
      <c r="J45" s="254">
        <f>'หมายเหตุ 6.'!G54</f>
        <v>4141634.8</v>
      </c>
    </row>
    <row r="46" spans="1:12" ht="21">
      <c r="A46" s="253"/>
      <c r="B46" s="253"/>
      <c r="C46" s="253" t="s">
        <v>7</v>
      </c>
      <c r="D46" s="253"/>
      <c r="E46" s="253"/>
      <c r="F46" s="253"/>
      <c r="G46" s="264"/>
      <c r="H46" s="253"/>
      <c r="I46" s="253"/>
      <c r="J46" s="254">
        <v>0</v>
      </c>
    </row>
    <row r="47" spans="1:12" ht="21">
      <c r="A47" s="253"/>
      <c r="B47" s="253"/>
      <c r="C47" s="253" t="s">
        <v>8</v>
      </c>
      <c r="D47" s="253"/>
      <c r="E47" s="253"/>
      <c r="F47" s="253"/>
      <c r="G47" s="264"/>
      <c r="H47" s="253"/>
      <c r="I47" s="253"/>
      <c r="J47" s="254">
        <v>0</v>
      </c>
    </row>
    <row r="48" spans="1:12" ht="21">
      <c r="A48" s="253"/>
      <c r="B48" s="253"/>
      <c r="C48" s="253" t="s">
        <v>9</v>
      </c>
      <c r="D48" s="253"/>
      <c r="E48" s="253"/>
      <c r="F48" s="253"/>
      <c r="G48" s="264">
        <v>7</v>
      </c>
      <c r="H48" s="253"/>
      <c r="I48" s="253"/>
      <c r="J48" s="254">
        <f>'หมายเหตุ 7.'!G15</f>
        <v>3114992.78</v>
      </c>
      <c r="L48">
        <f>3114992.78-3116392.78</f>
        <v>-1400</v>
      </c>
    </row>
    <row r="49" spans="1:12" ht="21">
      <c r="A49" s="253"/>
      <c r="B49" s="253"/>
      <c r="C49" s="253" t="s">
        <v>10</v>
      </c>
      <c r="D49" s="253"/>
      <c r="E49" s="253"/>
      <c r="F49" s="253"/>
      <c r="G49" s="264"/>
      <c r="H49" s="253"/>
      <c r="I49" s="253"/>
      <c r="J49" s="254">
        <v>0</v>
      </c>
    </row>
    <row r="50" spans="1:12" ht="21">
      <c r="A50" s="253"/>
      <c r="B50" s="253"/>
      <c r="C50" s="253" t="s">
        <v>248</v>
      </c>
      <c r="D50" s="253"/>
      <c r="E50" s="253"/>
      <c r="F50" s="253"/>
      <c r="G50" s="264"/>
      <c r="H50" s="253"/>
      <c r="I50" s="253"/>
      <c r="J50" s="254">
        <v>89600</v>
      </c>
    </row>
    <row r="51" spans="1:12" ht="21">
      <c r="A51" s="253"/>
      <c r="B51" s="253"/>
      <c r="C51" s="255" t="s">
        <v>11</v>
      </c>
      <c r="D51" s="253"/>
      <c r="E51" s="253"/>
      <c r="F51" s="253"/>
      <c r="G51" s="264"/>
      <c r="H51" s="253"/>
      <c r="I51" s="253"/>
      <c r="J51" s="263">
        <f>SUM(J45:J50)</f>
        <v>7346227.5800000001</v>
      </c>
    </row>
    <row r="52" spans="1:12" ht="21">
      <c r="A52" s="253"/>
      <c r="B52" s="255" t="s">
        <v>12</v>
      </c>
      <c r="C52" s="253"/>
      <c r="D52" s="253"/>
      <c r="E52" s="253"/>
      <c r="F52" s="253"/>
      <c r="G52" s="264"/>
      <c r="H52" s="253"/>
      <c r="I52" s="253"/>
      <c r="J52" s="254"/>
      <c r="L52" s="139">
        <f>J22-J61</f>
        <v>0</v>
      </c>
    </row>
    <row r="53" spans="1:12" ht="21">
      <c r="A53" s="253"/>
      <c r="B53" s="253"/>
      <c r="C53" s="253" t="s">
        <v>13</v>
      </c>
      <c r="D53" s="253"/>
      <c r="E53" s="253"/>
      <c r="F53" s="253"/>
      <c r="G53" s="264"/>
      <c r="H53" s="253"/>
      <c r="I53" s="253"/>
      <c r="J53" s="254">
        <v>0</v>
      </c>
    </row>
    <row r="54" spans="1:12" ht="21">
      <c r="A54" s="253"/>
      <c r="B54" s="253"/>
      <c r="C54" s="255" t="s">
        <v>14</v>
      </c>
      <c r="D54" s="253"/>
      <c r="E54" s="253"/>
      <c r="F54" s="253"/>
      <c r="G54" s="264"/>
      <c r="H54" s="253"/>
      <c r="I54" s="253"/>
      <c r="J54" s="254"/>
    </row>
    <row r="55" spans="1:12" ht="21">
      <c r="A55" s="253"/>
      <c r="B55" s="253"/>
      <c r="C55" s="253"/>
      <c r="D55" s="253"/>
      <c r="E55" s="253"/>
      <c r="F55" s="253"/>
      <c r="G55" s="264"/>
      <c r="H55" s="253"/>
      <c r="I55" s="253"/>
      <c r="J55" s="254"/>
    </row>
    <row r="56" spans="1:12" ht="21">
      <c r="A56" s="253"/>
      <c r="B56" s="253" t="s">
        <v>15</v>
      </c>
      <c r="C56" s="253"/>
      <c r="D56" s="253"/>
      <c r="E56" s="253"/>
      <c r="F56" s="253"/>
      <c r="G56" s="264"/>
      <c r="H56" s="253"/>
      <c r="I56" s="253"/>
      <c r="J56" s="254"/>
    </row>
    <row r="57" spans="1:12" ht="21">
      <c r="A57" s="253"/>
      <c r="B57" s="253"/>
      <c r="C57" s="253" t="s">
        <v>15</v>
      </c>
      <c r="D57" s="253"/>
      <c r="E57" s="253"/>
      <c r="F57" s="253"/>
      <c r="G57" s="264">
        <v>8</v>
      </c>
      <c r="H57" s="253"/>
      <c r="I57" s="253"/>
      <c r="J57" s="254">
        <f>'หมายเหตุ 8'!H32</f>
        <v>9227399.4100000001</v>
      </c>
    </row>
    <row r="58" spans="1:12" ht="21">
      <c r="A58" s="253"/>
      <c r="B58" s="253"/>
      <c r="C58" s="253" t="s">
        <v>16</v>
      </c>
      <c r="D58" s="253"/>
      <c r="E58" s="253"/>
      <c r="F58" s="253"/>
      <c r="G58" s="264"/>
      <c r="H58" s="253"/>
      <c r="I58" s="253"/>
      <c r="J58" s="254">
        <v>9075720.4399999995</v>
      </c>
    </row>
    <row r="59" spans="1:12" ht="21">
      <c r="A59" s="253"/>
      <c r="B59" s="253"/>
      <c r="C59" s="253" t="s">
        <v>17</v>
      </c>
      <c r="D59" s="253"/>
      <c r="E59" s="253"/>
      <c r="F59" s="253"/>
      <c r="G59" s="264"/>
      <c r="H59" s="253"/>
      <c r="I59" s="253"/>
      <c r="J59" s="263"/>
    </row>
    <row r="60" spans="1:12" ht="21">
      <c r="A60" s="253"/>
      <c r="B60" s="253"/>
      <c r="C60" s="253"/>
      <c r="D60" s="253"/>
      <c r="E60" s="253"/>
      <c r="F60" s="253"/>
      <c r="G60" s="264"/>
      <c r="H60" s="253"/>
      <c r="I60" s="253"/>
      <c r="J60" s="256">
        <f>SUM(J57:J59)</f>
        <v>18303119.850000001</v>
      </c>
    </row>
    <row r="61" spans="1:12" ht="21.75" thickBot="1">
      <c r="A61" s="253"/>
      <c r="B61" s="255" t="s">
        <v>18</v>
      </c>
      <c r="C61" s="253"/>
      <c r="D61" s="253"/>
      <c r="E61" s="253"/>
      <c r="F61" s="253"/>
      <c r="G61" s="264"/>
      <c r="H61" s="253"/>
      <c r="I61" s="253"/>
      <c r="J61" s="257">
        <f>J51+J60</f>
        <v>25649347.43</v>
      </c>
      <c r="L61" s="139">
        <f>J61-25650747.43</f>
        <v>-1400</v>
      </c>
    </row>
    <row r="62" spans="1:12" ht="15" thickTop="1">
      <c r="A62" s="252"/>
      <c r="B62" s="252"/>
      <c r="C62" s="252"/>
      <c r="D62" s="252"/>
      <c r="E62" s="252"/>
      <c r="F62" s="252"/>
      <c r="G62" s="252"/>
      <c r="H62" s="252"/>
      <c r="I62" s="252"/>
      <c r="J62" s="252"/>
    </row>
    <row r="64" spans="1:12" ht="18.75">
      <c r="A64" s="259"/>
      <c r="B64" s="260"/>
      <c r="C64" s="260"/>
      <c r="D64" s="260"/>
      <c r="E64" s="260"/>
      <c r="F64" s="260"/>
      <c r="G64" s="259"/>
      <c r="H64" s="261"/>
      <c r="I64" s="258"/>
      <c r="J64" s="258"/>
    </row>
    <row r="65" spans="1:10" ht="18.75">
      <c r="A65" s="259"/>
      <c r="B65" s="260"/>
      <c r="C65" s="260"/>
      <c r="D65" s="260"/>
      <c r="E65" s="260"/>
      <c r="F65" s="260"/>
      <c r="G65" s="259"/>
      <c r="H65" s="262"/>
      <c r="I65" s="258"/>
      <c r="J65" s="258"/>
    </row>
    <row r="66" spans="1:10" ht="18.75">
      <c r="A66" s="259"/>
      <c r="B66" s="260"/>
      <c r="C66" s="260"/>
      <c r="D66" s="260"/>
      <c r="E66" s="260"/>
      <c r="F66" s="260"/>
      <c r="G66" s="259"/>
      <c r="H66" s="262"/>
      <c r="I66" s="258"/>
      <c r="J66" s="258"/>
    </row>
    <row r="67" spans="1:10" ht="18.75">
      <c r="A67" s="259"/>
      <c r="B67" s="260"/>
      <c r="C67" s="260"/>
      <c r="D67" s="260"/>
      <c r="E67" s="260"/>
      <c r="F67" s="260"/>
      <c r="G67" s="259"/>
      <c r="H67" s="262"/>
      <c r="I67" s="258"/>
      <c r="J67" s="258"/>
    </row>
    <row r="68" spans="1:10" ht="18.75">
      <c r="A68" s="259"/>
      <c r="B68" s="260"/>
      <c r="C68" s="260"/>
      <c r="D68" s="260"/>
      <c r="E68" s="260"/>
      <c r="F68" s="260"/>
      <c r="G68" s="259"/>
      <c r="H68" s="262"/>
      <c r="I68" s="258"/>
      <c r="J68" s="258"/>
    </row>
    <row r="69" spans="1:10" ht="18.75">
      <c r="A69" s="259"/>
      <c r="B69" s="260"/>
      <c r="C69" s="260"/>
      <c r="D69" s="260"/>
      <c r="E69" s="260"/>
      <c r="F69" s="260"/>
      <c r="G69" s="259"/>
      <c r="H69" s="262"/>
      <c r="I69" s="258"/>
      <c r="J69" s="258"/>
    </row>
    <row r="70" spans="1:10" ht="18">
      <c r="A70" s="258"/>
      <c r="B70" s="258"/>
      <c r="C70" s="258"/>
      <c r="D70" s="258"/>
      <c r="E70" s="258"/>
      <c r="F70" s="258"/>
      <c r="G70" s="266"/>
      <c r="H70" s="258"/>
      <c r="I70" s="258"/>
      <c r="J70" s="258"/>
    </row>
  </sheetData>
  <mergeCells count="6">
    <mergeCell ref="A41:J41"/>
    <mergeCell ref="A2:J2"/>
    <mergeCell ref="A3:J3"/>
    <mergeCell ref="A4:J4"/>
    <mergeCell ref="A39:J39"/>
    <mergeCell ref="A40:J40"/>
  </mergeCells>
  <pageMargins left="0.51181102362204722" right="0.11811023622047245" top="0.35433070866141736" bottom="0.55118110236220474" header="0.11811023622047245" footer="0.11811023622047245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/>
  </sheetPr>
  <dimension ref="A1:M48"/>
  <sheetViews>
    <sheetView view="pageBreakPreview" topLeftCell="A25" zoomScaleSheetLayoutView="100" workbookViewId="0">
      <selection activeCell="G5" sqref="G5"/>
    </sheetView>
  </sheetViews>
  <sheetFormatPr defaultRowHeight="20.25"/>
  <cols>
    <col min="1" max="1" width="4.625" style="140" customWidth="1"/>
    <col min="2" max="2" width="9" style="140"/>
    <col min="3" max="3" width="7.5" style="140" customWidth="1"/>
    <col min="4" max="8" width="9" style="140"/>
    <col min="9" max="9" width="21.5" style="140" customWidth="1"/>
    <col min="10" max="10" width="13.125" style="140" customWidth="1"/>
    <col min="11" max="16384" width="9" style="140"/>
  </cols>
  <sheetData>
    <row r="1" spans="1:13">
      <c r="A1" s="295" t="s">
        <v>215</v>
      </c>
      <c r="B1" s="295"/>
      <c r="C1" s="295"/>
      <c r="D1" s="295"/>
      <c r="E1" s="295"/>
      <c r="F1" s="295"/>
      <c r="G1" s="295"/>
      <c r="H1" s="295"/>
      <c r="I1" s="295"/>
      <c r="J1" s="142"/>
      <c r="M1" s="140">
        <v>1</v>
      </c>
    </row>
    <row r="2" spans="1:13">
      <c r="A2" s="295" t="s">
        <v>216</v>
      </c>
      <c r="B2" s="295"/>
      <c r="C2" s="295"/>
      <c r="D2" s="295"/>
      <c r="E2" s="295"/>
      <c r="F2" s="295"/>
      <c r="G2" s="295"/>
      <c r="H2" s="295"/>
      <c r="I2" s="295"/>
      <c r="J2" s="142"/>
    </row>
    <row r="3" spans="1:13">
      <c r="A3" s="295" t="s">
        <v>387</v>
      </c>
      <c r="B3" s="295"/>
      <c r="C3" s="295"/>
      <c r="D3" s="295"/>
      <c r="E3" s="295"/>
      <c r="F3" s="295"/>
      <c r="G3" s="295"/>
      <c r="H3" s="295"/>
      <c r="I3" s="295"/>
      <c r="J3" s="142"/>
    </row>
    <row r="5" spans="1:13">
      <c r="B5" s="141" t="s">
        <v>217</v>
      </c>
    </row>
    <row r="6" spans="1:13">
      <c r="C6" s="140" t="s">
        <v>218</v>
      </c>
    </row>
    <row r="7" spans="1:13">
      <c r="B7" s="140" t="s">
        <v>219</v>
      </c>
    </row>
    <row r="8" spans="1:13">
      <c r="B8" s="140" t="s">
        <v>220</v>
      </c>
    </row>
    <row r="9" spans="1:13">
      <c r="C9" s="140" t="s">
        <v>221</v>
      </c>
    </row>
    <row r="10" spans="1:13">
      <c r="B10" s="140" t="s">
        <v>222</v>
      </c>
    </row>
    <row r="11" spans="1:13">
      <c r="B11" s="140" t="s">
        <v>223</v>
      </c>
    </row>
    <row r="12" spans="1:13">
      <c r="C12" s="140" t="s">
        <v>224</v>
      </c>
    </row>
    <row r="13" spans="1:13">
      <c r="B13" s="140" t="s">
        <v>225</v>
      </c>
    </row>
    <row r="14" spans="1:13">
      <c r="C14" s="140" t="s">
        <v>226</v>
      </c>
    </row>
    <row r="15" spans="1:13">
      <c r="B15" s="140" t="s">
        <v>227</v>
      </c>
    </row>
    <row r="16" spans="1:13">
      <c r="C16" s="140" t="s">
        <v>228</v>
      </c>
    </row>
    <row r="17" spans="2:4">
      <c r="B17" s="140" t="s">
        <v>229</v>
      </c>
    </row>
    <row r="18" spans="2:4">
      <c r="C18" s="140" t="s">
        <v>230</v>
      </c>
    </row>
    <row r="19" spans="2:4">
      <c r="B19" s="140" t="s">
        <v>231</v>
      </c>
    </row>
    <row r="20" spans="2:4">
      <c r="C20" s="140" t="s">
        <v>232</v>
      </c>
    </row>
    <row r="21" spans="2:4">
      <c r="B21" s="140" t="s">
        <v>246</v>
      </c>
    </row>
    <row r="22" spans="2:4">
      <c r="C22" s="140" t="s">
        <v>244</v>
      </c>
    </row>
    <row r="23" spans="2:4">
      <c r="B23" s="140" t="s">
        <v>245</v>
      </c>
    </row>
    <row r="24" spans="2:4">
      <c r="C24" s="140" t="s">
        <v>233</v>
      </c>
    </row>
    <row r="25" spans="2:4">
      <c r="B25" s="140" t="s">
        <v>234</v>
      </c>
    </row>
    <row r="26" spans="2:4">
      <c r="B26" s="140" t="s">
        <v>235</v>
      </c>
    </row>
    <row r="28" spans="2:4">
      <c r="B28" s="141" t="s">
        <v>236</v>
      </c>
    </row>
    <row r="29" spans="2:4">
      <c r="C29" s="140" t="s">
        <v>237</v>
      </c>
    </row>
    <row r="30" spans="2:4">
      <c r="D30" s="140" t="s">
        <v>238</v>
      </c>
    </row>
    <row r="31" spans="2:4">
      <c r="B31" s="140" t="s">
        <v>239</v>
      </c>
    </row>
    <row r="32" spans="2:4">
      <c r="B32" s="140" t="s">
        <v>240</v>
      </c>
    </row>
    <row r="33" spans="2:4">
      <c r="D33" s="140" t="s">
        <v>241</v>
      </c>
    </row>
    <row r="34" spans="2:4">
      <c r="B34" s="140" t="s">
        <v>247</v>
      </c>
    </row>
    <row r="35" spans="2:4">
      <c r="B35" s="140" t="s">
        <v>242</v>
      </c>
    </row>
    <row r="36" spans="2:4">
      <c r="C36" s="140" t="s">
        <v>243</v>
      </c>
    </row>
    <row r="48" spans="2:4">
      <c r="C48" s="140">
        <v>1</v>
      </c>
    </row>
  </sheetData>
  <mergeCells count="3">
    <mergeCell ref="A3:I3"/>
    <mergeCell ref="A2:I2"/>
    <mergeCell ref="A1:I1"/>
  </mergeCells>
  <pageMargins left="0.70866141732283472" right="0.11811023622047245" top="0.74803149606299213" bottom="0.35433070866141736" header="0.11811023622047245" footer="0.19685039370078741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/>
  </sheetPr>
  <dimension ref="A1:F36"/>
  <sheetViews>
    <sheetView view="pageBreakPreview" topLeftCell="A19" zoomScaleSheetLayoutView="100" workbookViewId="0">
      <selection activeCell="D15" sqref="D15"/>
    </sheetView>
  </sheetViews>
  <sheetFormatPr defaultRowHeight="14.25"/>
  <cols>
    <col min="2" max="2" width="26.875" customWidth="1"/>
    <col min="3" max="3" width="14.25" customWidth="1"/>
    <col min="4" max="4" width="28" customWidth="1"/>
    <col min="5" max="5" width="14" customWidth="1"/>
    <col min="6" max="6" width="14.125" bestFit="1" customWidth="1"/>
  </cols>
  <sheetData>
    <row r="1" spans="1:5" ht="21">
      <c r="A1" s="296" t="s">
        <v>0</v>
      </c>
      <c r="B1" s="296"/>
      <c r="C1" s="296"/>
      <c r="D1" s="296"/>
      <c r="E1" s="296"/>
    </row>
    <row r="2" spans="1:5" ht="21">
      <c r="A2" s="297" t="s">
        <v>259</v>
      </c>
      <c r="B2" s="297"/>
      <c r="C2" s="297"/>
      <c r="D2" s="297"/>
      <c r="E2" s="297"/>
    </row>
    <row r="3" spans="1:5" ht="21">
      <c r="A3" s="297" t="s">
        <v>291</v>
      </c>
      <c r="B3" s="297"/>
      <c r="C3" s="297"/>
      <c r="D3" s="297"/>
      <c r="E3" s="297"/>
    </row>
    <row r="4" spans="1:5" ht="21">
      <c r="A4" s="4" t="s">
        <v>396</v>
      </c>
      <c r="B4" s="143"/>
      <c r="C4" s="143"/>
      <c r="D4" s="143"/>
      <c r="E4" s="143"/>
    </row>
    <row r="5" spans="1:5" ht="21">
      <c r="A5" s="298" t="s">
        <v>20</v>
      </c>
      <c r="B5" s="298"/>
      <c r="C5" s="298" t="s">
        <v>21</v>
      </c>
      <c r="D5" s="299" t="s">
        <v>22</v>
      </c>
      <c r="E5" s="299"/>
    </row>
    <row r="6" spans="1:5" ht="21">
      <c r="A6" s="298"/>
      <c r="B6" s="298"/>
      <c r="C6" s="298"/>
      <c r="D6" s="144" t="s">
        <v>23</v>
      </c>
      <c r="E6" s="5" t="s">
        <v>24</v>
      </c>
    </row>
    <row r="7" spans="1:5" ht="21">
      <c r="A7" s="6" t="s">
        <v>25</v>
      </c>
      <c r="B7" s="7" t="s">
        <v>26</v>
      </c>
      <c r="C7" s="8"/>
      <c r="D7" s="8"/>
      <c r="E7" s="9"/>
    </row>
    <row r="8" spans="1:5" ht="21">
      <c r="A8" s="10"/>
      <c r="B8" s="11" t="s">
        <v>27</v>
      </c>
      <c r="C8" s="12">
        <f>2658725+455000+304000+274400+396900+121100+120400+268240+131600+102900+84000+65800</f>
        <v>4983065</v>
      </c>
      <c r="D8" s="13" t="s">
        <v>28</v>
      </c>
      <c r="E8" s="14">
        <f>2607188+274400+207700+4137338+95800+16900+35200+21202+9327770.55+75500-239400</f>
        <v>16559598.550000001</v>
      </c>
    </row>
    <row r="9" spans="1:5" ht="21">
      <c r="A9" s="10"/>
      <c r="B9" s="11" t="s">
        <v>29</v>
      </c>
      <c r="C9" s="12">
        <f>32848536.8+4398000+4929770.55</f>
        <v>42176307.349999994</v>
      </c>
      <c r="D9" s="13" t="s">
        <v>30</v>
      </c>
      <c r="E9" s="14">
        <f>15179246.98+139500-242150+127000-82100+120400+268240+131600+102900+84000+65800+142389.96-118158-617870.66+1977748.66-234445+2720000+75520</f>
        <v>19839621.940000001</v>
      </c>
    </row>
    <row r="10" spans="1:5" ht="21">
      <c r="A10" s="10"/>
      <c r="B10" s="11" t="s">
        <v>31</v>
      </c>
      <c r="C10" s="12">
        <f>6771143.18+13671459.93+2720000</f>
        <v>23162603.109999999</v>
      </c>
      <c r="D10" s="13" t="s">
        <v>32</v>
      </c>
      <c r="E10" s="14">
        <f>4317225+2245000+455000+121100+304000+396900</f>
        <v>7839225</v>
      </c>
    </row>
    <row r="11" spans="1:5" ht="21">
      <c r="A11" s="10"/>
      <c r="B11" s="11" t="s">
        <v>33</v>
      </c>
      <c r="C11" s="12">
        <v>2707035</v>
      </c>
      <c r="D11" s="13" t="s">
        <v>34</v>
      </c>
      <c r="E11" s="14">
        <v>8800</v>
      </c>
    </row>
    <row r="12" spans="1:5" ht="21">
      <c r="A12" s="10"/>
      <c r="B12" s="15"/>
      <c r="C12" s="12"/>
      <c r="D12" s="13" t="s">
        <v>35</v>
      </c>
      <c r="E12" s="16">
        <f>24000000+13671459.93</f>
        <v>37671459.93</v>
      </c>
    </row>
    <row r="13" spans="1:5" ht="21">
      <c r="A13" s="17" t="s">
        <v>36</v>
      </c>
      <c r="B13" s="18" t="s">
        <v>37</v>
      </c>
      <c r="C13" s="12"/>
      <c r="D13" s="13"/>
      <c r="E13" s="16"/>
    </row>
    <row r="14" spans="1:5" ht="21">
      <c r="A14" s="10"/>
      <c r="B14" s="19" t="s">
        <v>38</v>
      </c>
      <c r="C14" s="20">
        <f>4903500+35700-1000</f>
        <v>4938200</v>
      </c>
      <c r="D14" s="13"/>
      <c r="E14" s="16"/>
    </row>
    <row r="15" spans="1:5" ht="21">
      <c r="A15" s="10"/>
      <c r="B15" s="19" t="s">
        <v>39</v>
      </c>
      <c r="C15" s="20">
        <f>221684-49584</f>
        <v>172100</v>
      </c>
      <c r="D15" s="13"/>
      <c r="E15" s="16"/>
    </row>
    <row r="16" spans="1:5" ht="21">
      <c r="A16" s="10"/>
      <c r="B16" s="19" t="s">
        <v>40</v>
      </c>
      <c r="C16" s="20">
        <v>245250</v>
      </c>
      <c r="D16" s="13"/>
      <c r="E16" s="16"/>
    </row>
    <row r="17" spans="1:6" ht="21">
      <c r="A17" s="10"/>
      <c r="B17" s="19" t="s">
        <v>41</v>
      </c>
      <c r="C17" s="20">
        <f>3141585.96+712840-328756+95800+35200-234445+128920+15600-239400</f>
        <v>3327344.96</v>
      </c>
      <c r="D17" s="13"/>
      <c r="E17" s="16"/>
    </row>
    <row r="18" spans="1:6" ht="21">
      <c r="A18" s="10"/>
      <c r="B18" s="19" t="s">
        <v>42</v>
      </c>
      <c r="C18" s="20">
        <f>304000-173500+21202+6500</f>
        <v>158202</v>
      </c>
      <c r="D18" s="13"/>
      <c r="E18" s="16"/>
    </row>
    <row r="19" spans="1:6" ht="21">
      <c r="A19" s="10"/>
      <c r="B19" s="19" t="s">
        <v>43</v>
      </c>
      <c r="C19" s="20">
        <f>16700-16700</f>
        <v>0</v>
      </c>
      <c r="D19" s="13"/>
      <c r="E19" s="16"/>
    </row>
    <row r="20" spans="1:6" ht="21">
      <c r="A20" s="10"/>
      <c r="B20" s="19" t="s">
        <v>44</v>
      </c>
      <c r="C20" s="20">
        <f>16000+31698-16000</f>
        <v>31698</v>
      </c>
      <c r="D20" s="13"/>
      <c r="E20" s="16"/>
    </row>
    <row r="21" spans="1:6" ht="21">
      <c r="A21" s="10"/>
      <c r="B21" s="19" t="s">
        <v>260</v>
      </c>
      <c r="C21" s="12">
        <v>16900</v>
      </c>
      <c r="D21" s="13"/>
      <c r="E21" s="16"/>
    </row>
    <row r="22" spans="1:6" ht="21">
      <c r="A22" s="10"/>
      <c r="B22" s="15"/>
      <c r="C22" s="12"/>
      <c r="D22" s="13"/>
      <c r="E22" s="16"/>
    </row>
    <row r="23" spans="1:6" ht="21">
      <c r="A23" s="10"/>
      <c r="B23" s="15"/>
      <c r="C23" s="12"/>
      <c r="D23" s="13"/>
      <c r="E23" s="16"/>
    </row>
    <row r="24" spans="1:6" ht="21">
      <c r="A24" s="10"/>
      <c r="B24" s="15"/>
      <c r="C24" s="12"/>
      <c r="D24" s="13"/>
      <c r="E24" s="16"/>
    </row>
    <row r="25" spans="1:6" ht="21">
      <c r="A25" s="10"/>
      <c r="B25" s="15"/>
      <c r="C25" s="12"/>
      <c r="D25" s="13"/>
      <c r="E25" s="16"/>
    </row>
    <row r="26" spans="1:6" ht="21">
      <c r="A26" s="21"/>
      <c r="B26" s="22"/>
      <c r="C26" s="23"/>
      <c r="D26" s="24"/>
      <c r="E26" s="25"/>
    </row>
    <row r="27" spans="1:6" ht="21">
      <c r="A27" s="26"/>
      <c r="B27" s="27" t="s">
        <v>45</v>
      </c>
      <c r="C27" s="28">
        <f>SUM(C8:C25)</f>
        <v>81918705.419999987</v>
      </c>
      <c r="D27" s="28"/>
      <c r="E27" s="28">
        <f>SUM(E8:E22)</f>
        <v>81918705.420000002</v>
      </c>
      <c r="F27" s="139">
        <f>E27-C27</f>
        <v>0</v>
      </c>
    </row>
    <row r="31" spans="1:6" ht="21">
      <c r="A31" s="80"/>
      <c r="B31" s="77"/>
      <c r="C31" s="77"/>
      <c r="D31" s="77"/>
      <c r="E31" s="77"/>
    </row>
    <row r="32" spans="1:6" ht="21">
      <c r="A32" s="80"/>
      <c r="B32" s="77"/>
      <c r="C32" s="77"/>
      <c r="D32" s="77"/>
      <c r="E32" s="77"/>
    </row>
    <row r="33" spans="1:5" ht="21">
      <c r="A33" s="80"/>
      <c r="B33" s="77"/>
      <c r="C33" s="77"/>
      <c r="D33" s="77"/>
      <c r="E33" s="77"/>
    </row>
    <row r="34" spans="1:5" ht="21">
      <c r="A34" s="80"/>
      <c r="B34" s="77"/>
      <c r="C34" s="77"/>
      <c r="D34" s="77"/>
      <c r="E34" s="77"/>
    </row>
    <row r="35" spans="1:5" ht="21">
      <c r="A35" s="80"/>
      <c r="B35" s="77"/>
      <c r="C35" s="77"/>
      <c r="D35" s="77"/>
      <c r="E35" s="77"/>
    </row>
    <row r="36" spans="1:5" ht="21">
      <c r="A36" s="80"/>
      <c r="B36" s="77"/>
      <c r="C36" s="77"/>
      <c r="D36" s="77"/>
      <c r="E36" s="77"/>
    </row>
  </sheetData>
  <mergeCells count="6">
    <mergeCell ref="A1:E1"/>
    <mergeCell ref="A2:E2"/>
    <mergeCell ref="A3:E3"/>
    <mergeCell ref="A5:B6"/>
    <mergeCell ref="C5:C6"/>
    <mergeCell ref="D5:E5"/>
  </mergeCells>
  <pageMargins left="0.31496062992125984" right="0" top="0.74803149606299213" bottom="0.35433070866141736" header="0" footer="0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/>
  </sheetPr>
  <dimension ref="A1:I32"/>
  <sheetViews>
    <sheetView view="pageBreakPreview" topLeftCell="A13" zoomScaleSheetLayoutView="100" workbookViewId="0">
      <selection activeCell="F9" sqref="F8:F9"/>
    </sheetView>
  </sheetViews>
  <sheetFormatPr defaultRowHeight="14.25"/>
  <cols>
    <col min="2" max="2" width="4.875" customWidth="1"/>
    <col min="7" max="7" width="12.875" customWidth="1"/>
    <col min="8" max="8" width="13.375" customWidth="1"/>
  </cols>
  <sheetData>
    <row r="1" spans="1:9" ht="21">
      <c r="A1" s="300" t="s">
        <v>0</v>
      </c>
      <c r="B1" s="300"/>
      <c r="C1" s="300"/>
      <c r="D1" s="300"/>
      <c r="E1" s="300"/>
      <c r="F1" s="300"/>
      <c r="G1" s="300"/>
      <c r="H1" s="300"/>
      <c r="I1" s="300"/>
    </row>
    <row r="2" spans="1:9" ht="21">
      <c r="A2" s="300" t="s">
        <v>19</v>
      </c>
      <c r="B2" s="300"/>
      <c r="C2" s="300"/>
      <c r="D2" s="300"/>
      <c r="E2" s="300"/>
      <c r="F2" s="300"/>
      <c r="G2" s="300"/>
      <c r="H2" s="300"/>
      <c r="I2" s="300"/>
    </row>
    <row r="3" spans="1:9" ht="21">
      <c r="A3" s="296" t="s">
        <v>291</v>
      </c>
      <c r="B3" s="296"/>
      <c r="C3" s="296"/>
      <c r="D3" s="296"/>
      <c r="E3" s="296"/>
      <c r="F3" s="296"/>
      <c r="G3" s="296"/>
      <c r="H3" s="296"/>
      <c r="I3" s="296"/>
    </row>
    <row r="4" spans="1:9" ht="21">
      <c r="A4" s="29"/>
      <c r="B4" s="29"/>
      <c r="C4" s="30"/>
      <c r="D4" s="29"/>
      <c r="E4" s="31"/>
      <c r="F4" s="32"/>
      <c r="G4" s="33"/>
      <c r="H4" s="34"/>
    </row>
    <row r="5" spans="1:9" ht="21">
      <c r="A5" s="29" t="s">
        <v>277</v>
      </c>
      <c r="B5" s="29"/>
      <c r="C5" s="30"/>
      <c r="D5" s="29"/>
      <c r="E5" s="31"/>
      <c r="F5" s="32"/>
      <c r="G5" s="33"/>
      <c r="H5" s="34"/>
    </row>
    <row r="6" spans="1:9" ht="21">
      <c r="A6" s="35" t="s">
        <v>46</v>
      </c>
      <c r="B6" s="35"/>
      <c r="C6" s="36"/>
      <c r="D6" s="35"/>
      <c r="E6" s="32"/>
      <c r="F6" s="32"/>
      <c r="G6" s="33"/>
      <c r="H6" s="34">
        <v>0</v>
      </c>
    </row>
    <row r="7" spans="1:9" ht="21">
      <c r="A7" s="35" t="s">
        <v>47</v>
      </c>
      <c r="B7" s="35"/>
      <c r="C7" s="36"/>
      <c r="D7" s="35"/>
      <c r="E7" s="32"/>
      <c r="F7" s="32"/>
      <c r="G7" s="33"/>
      <c r="H7" s="34"/>
    </row>
    <row r="8" spans="1:9" ht="21">
      <c r="A8" s="35"/>
      <c r="B8" s="37" t="s">
        <v>48</v>
      </c>
      <c r="C8" s="38" t="s">
        <v>49</v>
      </c>
      <c r="D8" s="39"/>
      <c r="E8" s="40"/>
      <c r="F8" s="40"/>
      <c r="G8" s="33"/>
      <c r="H8" s="34"/>
    </row>
    <row r="9" spans="1:9" ht="21">
      <c r="A9" s="35"/>
      <c r="B9" s="41"/>
      <c r="C9" s="42" t="s">
        <v>50</v>
      </c>
      <c r="D9" s="39" t="s">
        <v>51</v>
      </c>
      <c r="E9" s="40"/>
      <c r="F9" s="40"/>
      <c r="G9" s="43"/>
      <c r="H9" s="44">
        <v>13651419.67</v>
      </c>
    </row>
    <row r="10" spans="1:9" ht="21">
      <c r="A10" s="35"/>
      <c r="B10" s="39"/>
      <c r="C10" s="42" t="s">
        <v>50</v>
      </c>
      <c r="D10" s="39" t="s">
        <v>52</v>
      </c>
      <c r="E10" s="40"/>
      <c r="F10" s="40"/>
      <c r="G10" s="43"/>
      <c r="H10" s="44">
        <v>761924.86</v>
      </c>
    </row>
    <row r="11" spans="1:9" ht="21">
      <c r="A11" s="29"/>
      <c r="B11" s="29"/>
      <c r="C11" s="45" t="s">
        <v>53</v>
      </c>
      <c r="D11" s="35"/>
      <c r="E11" s="32"/>
      <c r="F11" s="32"/>
      <c r="G11" s="33"/>
      <c r="H11" s="34"/>
    </row>
    <row r="12" spans="1:9" ht="21">
      <c r="A12" s="35"/>
      <c r="B12" s="35"/>
      <c r="C12" s="42" t="s">
        <v>50</v>
      </c>
      <c r="D12" s="39" t="s">
        <v>54</v>
      </c>
      <c r="E12" s="32"/>
      <c r="F12" s="32"/>
      <c r="G12" s="33"/>
      <c r="H12" s="44">
        <v>2432574.44</v>
      </c>
    </row>
    <row r="13" spans="1:9" ht="21">
      <c r="A13" s="35"/>
      <c r="B13" s="35" t="s">
        <v>55</v>
      </c>
      <c r="C13" s="38" t="s">
        <v>49</v>
      </c>
      <c r="D13" s="35"/>
      <c r="E13" s="32"/>
      <c r="F13" s="32"/>
      <c r="G13" s="33"/>
      <c r="H13" s="44"/>
    </row>
    <row r="14" spans="1:9" ht="21">
      <c r="A14" s="35"/>
      <c r="B14" s="35"/>
      <c r="C14" s="46"/>
      <c r="D14" s="39" t="s">
        <v>56</v>
      </c>
      <c r="E14" s="32"/>
      <c r="F14" s="32"/>
      <c r="G14" s="33"/>
      <c r="H14" s="44">
        <v>4536377.6399999997</v>
      </c>
    </row>
    <row r="15" spans="1:9" ht="21">
      <c r="A15" s="35"/>
      <c r="B15" s="35"/>
      <c r="C15" s="36"/>
      <c r="D15" s="39" t="s">
        <v>57</v>
      </c>
      <c r="E15" s="32"/>
      <c r="F15" s="32"/>
      <c r="G15" s="33"/>
      <c r="H15" s="44">
        <v>686321.78</v>
      </c>
    </row>
    <row r="16" spans="1:9" ht="21">
      <c r="A16" s="35"/>
      <c r="B16" s="35"/>
      <c r="C16" s="36"/>
      <c r="D16" s="39" t="s">
        <v>58</v>
      </c>
      <c r="E16" s="32"/>
      <c r="F16" s="32"/>
      <c r="G16" s="33"/>
      <c r="H16" s="44">
        <v>101958.74</v>
      </c>
    </row>
    <row r="17" spans="1:8" ht="21">
      <c r="A17" s="35"/>
      <c r="B17" s="35"/>
      <c r="C17" s="36" t="s">
        <v>59</v>
      </c>
      <c r="D17" s="35"/>
      <c r="E17" s="32"/>
      <c r="F17" s="32"/>
      <c r="G17" s="33"/>
      <c r="H17" s="44"/>
    </row>
    <row r="18" spans="1:8" ht="21">
      <c r="A18" s="35"/>
      <c r="B18" s="35"/>
      <c r="C18" s="36"/>
      <c r="D18" s="39" t="s">
        <v>60</v>
      </c>
      <c r="E18" s="32"/>
      <c r="F18" s="32"/>
      <c r="G18" s="33"/>
      <c r="H18" s="44">
        <v>611377.53</v>
      </c>
    </row>
    <row r="19" spans="1:8" ht="21">
      <c r="A19" s="35"/>
      <c r="B19" s="35" t="s">
        <v>290</v>
      </c>
      <c r="C19" s="38"/>
      <c r="D19" s="39"/>
      <c r="E19" s="32"/>
      <c r="F19" s="32"/>
      <c r="G19" s="33"/>
      <c r="H19" s="44"/>
    </row>
    <row r="20" spans="1:8" ht="21">
      <c r="A20" s="35"/>
      <c r="B20" s="35"/>
      <c r="C20" s="36"/>
      <c r="D20" s="39" t="s">
        <v>61</v>
      </c>
      <c r="E20" s="32"/>
      <c r="F20" s="32"/>
      <c r="G20" s="33"/>
      <c r="H20" s="44">
        <v>154863.19</v>
      </c>
    </row>
    <row r="21" spans="1:8" ht="21">
      <c r="A21" s="35"/>
      <c r="B21" s="35"/>
      <c r="C21" s="36" t="s">
        <v>62</v>
      </c>
      <c r="D21" s="39"/>
      <c r="E21" s="32"/>
      <c r="F21" s="32"/>
      <c r="G21" s="33"/>
      <c r="H21" s="44"/>
    </row>
    <row r="22" spans="1:8" ht="21">
      <c r="A22" s="35"/>
      <c r="B22" s="35"/>
      <c r="C22" s="36"/>
      <c r="D22" s="39" t="s">
        <v>63</v>
      </c>
      <c r="E22" s="32"/>
      <c r="F22" s="32"/>
      <c r="G22" s="33"/>
      <c r="H22" s="44">
        <v>2000000</v>
      </c>
    </row>
    <row r="23" spans="1:8" ht="21">
      <c r="A23" s="35"/>
      <c r="B23" s="35"/>
      <c r="C23" s="36"/>
      <c r="D23" s="39"/>
      <c r="E23" s="32"/>
      <c r="F23" s="32"/>
      <c r="G23" s="33"/>
      <c r="H23" s="44"/>
    </row>
    <row r="24" spans="1:8" ht="21.75" thickBot="1">
      <c r="A24" s="35"/>
      <c r="B24" s="35"/>
      <c r="C24" s="36"/>
      <c r="D24" s="35"/>
      <c r="E24" s="32"/>
      <c r="F24" s="32"/>
      <c r="G24" s="33"/>
      <c r="H24" s="47">
        <f>SUM(H9:H23)</f>
        <v>24936817.850000001</v>
      </c>
    </row>
    <row r="25" spans="1:8" ht="15" thickTop="1"/>
    <row r="27" spans="1:8" ht="21">
      <c r="A27" s="80"/>
      <c r="B27" s="77"/>
      <c r="C27" s="77"/>
      <c r="D27" s="77"/>
      <c r="E27" s="77"/>
      <c r="F27" s="77"/>
      <c r="G27" s="77"/>
      <c r="H27" s="130"/>
    </row>
    <row r="28" spans="1:8" ht="21">
      <c r="A28" s="80"/>
      <c r="B28" s="77"/>
      <c r="C28" s="77"/>
      <c r="D28" s="77"/>
      <c r="E28" s="77"/>
      <c r="F28" s="77"/>
      <c r="G28" s="77"/>
      <c r="H28" s="78"/>
    </row>
    <row r="29" spans="1:8" ht="21">
      <c r="A29" s="80"/>
      <c r="B29" s="77"/>
      <c r="C29" s="77"/>
      <c r="D29" s="77"/>
      <c r="E29" s="77"/>
      <c r="F29" s="77"/>
      <c r="G29" s="77"/>
      <c r="H29" s="78"/>
    </row>
    <row r="30" spans="1:8" ht="21">
      <c r="A30" s="80"/>
      <c r="B30" s="77"/>
      <c r="C30" s="77"/>
      <c r="D30" s="77"/>
      <c r="E30" s="77"/>
      <c r="F30" s="77"/>
      <c r="G30" s="77"/>
      <c r="H30" s="78"/>
    </row>
    <row r="31" spans="1:8" ht="21">
      <c r="A31" s="80"/>
      <c r="B31" s="77"/>
      <c r="C31" s="77"/>
      <c r="D31" s="77"/>
      <c r="E31" s="77"/>
      <c r="F31" s="77"/>
      <c r="G31" s="77"/>
      <c r="H31" s="78"/>
    </row>
    <row r="32" spans="1:8" ht="21">
      <c r="A32" s="80"/>
      <c r="B32" s="77"/>
      <c r="C32" s="77"/>
      <c r="D32" s="77"/>
      <c r="E32" s="77"/>
      <c r="F32" s="77"/>
      <c r="G32" s="77"/>
      <c r="H32" s="78"/>
    </row>
  </sheetData>
  <mergeCells count="3">
    <mergeCell ref="A3:I3"/>
    <mergeCell ref="A2:I2"/>
    <mergeCell ref="A1:I1"/>
  </mergeCells>
  <pageMargins left="0.51181102362204722" right="0.11811023622047245" top="0.35433070866141736" bottom="0.35433070866141736" header="0.11811023622047245" footer="0.11811023622047245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9"/>
  </sheetPr>
  <dimension ref="A1:I10"/>
  <sheetViews>
    <sheetView workbookViewId="0">
      <selection activeCell="B13" sqref="B13"/>
    </sheetView>
  </sheetViews>
  <sheetFormatPr defaultRowHeight="21"/>
  <cols>
    <col min="1" max="5" width="9" style="253"/>
    <col min="6" max="6" width="10.875" style="277" bestFit="1" customWidth="1"/>
    <col min="7" max="16384" width="9" style="253"/>
  </cols>
  <sheetData>
    <row r="1" spans="1:9">
      <c r="A1" s="300" t="s">
        <v>0</v>
      </c>
      <c r="B1" s="300"/>
      <c r="C1" s="300"/>
      <c r="D1" s="300"/>
      <c r="E1" s="300"/>
      <c r="F1" s="300"/>
      <c r="G1" s="300"/>
      <c r="H1" s="300"/>
      <c r="I1" s="300"/>
    </row>
    <row r="2" spans="1:9">
      <c r="A2" s="300" t="s">
        <v>19</v>
      </c>
      <c r="B2" s="300"/>
      <c r="C2" s="300"/>
      <c r="D2" s="300"/>
      <c r="E2" s="300"/>
      <c r="F2" s="300"/>
      <c r="G2" s="300"/>
      <c r="H2" s="300"/>
      <c r="I2" s="300"/>
    </row>
    <row r="3" spans="1:9">
      <c r="A3" s="296" t="s">
        <v>291</v>
      </c>
      <c r="B3" s="296"/>
      <c r="C3" s="296"/>
      <c r="D3" s="296"/>
      <c r="E3" s="296"/>
      <c r="F3" s="296"/>
      <c r="G3" s="296"/>
      <c r="H3" s="296"/>
      <c r="I3" s="296"/>
    </row>
    <row r="5" spans="1:9">
      <c r="A5" s="255" t="s">
        <v>424</v>
      </c>
      <c r="B5" s="255"/>
      <c r="C5" s="255"/>
    </row>
    <row r="7" spans="1:9">
      <c r="B7" s="253" t="s">
        <v>398</v>
      </c>
      <c r="F7" s="278">
        <v>89600</v>
      </c>
    </row>
    <row r="9" spans="1:9" ht="21.75" thickBot="1">
      <c r="C9" s="255" t="s">
        <v>45</v>
      </c>
      <c r="F9" s="279">
        <f>SUM(F7:F8)</f>
        <v>89600</v>
      </c>
    </row>
    <row r="10" spans="1:9" ht="21.75" thickTop="1"/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9"/>
  </sheetPr>
  <dimension ref="A3:H27"/>
  <sheetViews>
    <sheetView view="pageBreakPreview" topLeftCell="A10" zoomScaleSheetLayoutView="100" workbookViewId="0">
      <selection activeCell="C16" sqref="C16"/>
    </sheetView>
  </sheetViews>
  <sheetFormatPr defaultRowHeight="14.25"/>
  <cols>
    <col min="2" max="2" width="4.875" customWidth="1"/>
    <col min="4" max="4" width="6.125" customWidth="1"/>
    <col min="5" max="5" width="9" customWidth="1"/>
    <col min="7" max="7" width="14" customWidth="1"/>
    <col min="8" max="8" width="13.375" customWidth="1"/>
    <col min="9" max="9" width="10.375" customWidth="1"/>
  </cols>
  <sheetData>
    <row r="3" spans="1:8" ht="21">
      <c r="A3" s="300" t="s">
        <v>0</v>
      </c>
      <c r="B3" s="300"/>
      <c r="C3" s="300"/>
      <c r="D3" s="300"/>
      <c r="E3" s="300"/>
      <c r="F3" s="300"/>
      <c r="G3" s="300"/>
      <c r="H3" s="300"/>
    </row>
    <row r="4" spans="1:8" ht="21">
      <c r="A4" s="300" t="s">
        <v>19</v>
      </c>
      <c r="B4" s="300"/>
      <c r="C4" s="300"/>
      <c r="D4" s="300"/>
      <c r="E4" s="300"/>
      <c r="F4" s="300"/>
      <c r="G4" s="300"/>
      <c r="H4" s="300"/>
    </row>
    <row r="5" spans="1:8" ht="21">
      <c r="A5" s="296" t="s">
        <v>291</v>
      </c>
      <c r="B5" s="296"/>
      <c r="C5" s="296"/>
      <c r="D5" s="296"/>
      <c r="E5" s="296"/>
      <c r="F5" s="296"/>
      <c r="G5" s="296"/>
      <c r="H5" s="296"/>
    </row>
    <row r="6" spans="1:8" ht="21">
      <c r="A6" s="35"/>
      <c r="B6" s="35"/>
      <c r="C6" s="36"/>
      <c r="D6" s="35"/>
      <c r="E6" s="32"/>
      <c r="F6" s="32"/>
      <c r="G6" s="33"/>
      <c r="H6" s="34"/>
    </row>
    <row r="7" spans="1:8" ht="21">
      <c r="A7" s="29" t="s">
        <v>425</v>
      </c>
      <c r="B7" s="29"/>
      <c r="C7" s="36"/>
      <c r="D7" s="35"/>
      <c r="E7" s="32"/>
      <c r="F7" s="32"/>
      <c r="G7" s="33"/>
      <c r="H7" s="34"/>
    </row>
    <row r="8" spans="1:8" ht="21">
      <c r="A8" s="35"/>
      <c r="B8" s="35"/>
      <c r="C8" s="36"/>
      <c r="D8" s="35"/>
      <c r="E8" s="32"/>
      <c r="F8" s="32"/>
      <c r="G8" s="33"/>
      <c r="H8" s="34"/>
    </row>
    <row r="9" spans="1:8" ht="21">
      <c r="A9" s="35"/>
      <c r="B9" s="301" t="s">
        <v>64</v>
      </c>
      <c r="C9" s="301"/>
      <c r="D9" s="301"/>
      <c r="E9" s="138" t="s">
        <v>65</v>
      </c>
      <c r="F9" s="138" t="s">
        <v>66</v>
      </c>
      <c r="G9" s="49" t="s">
        <v>24</v>
      </c>
      <c r="H9" s="34"/>
    </row>
    <row r="10" spans="1:8" ht="21">
      <c r="A10" s="35"/>
      <c r="B10" s="50"/>
      <c r="C10" s="51"/>
      <c r="D10" s="52"/>
      <c r="E10" s="53"/>
      <c r="F10" s="53"/>
      <c r="G10" s="54"/>
      <c r="H10" s="34"/>
    </row>
    <row r="11" spans="1:8" ht="21">
      <c r="A11" s="35"/>
      <c r="B11" s="55" t="s">
        <v>67</v>
      </c>
      <c r="C11" s="56"/>
      <c r="D11" s="57"/>
      <c r="E11" s="58">
        <v>2546</v>
      </c>
      <c r="F11" s="58">
        <v>25</v>
      </c>
      <c r="G11" s="59">
        <v>865.18</v>
      </c>
      <c r="H11" s="34"/>
    </row>
    <row r="12" spans="1:8" ht="21">
      <c r="A12" s="35"/>
      <c r="B12" s="60"/>
      <c r="C12" s="56"/>
      <c r="D12" s="57"/>
      <c r="E12" s="58">
        <v>2547</v>
      </c>
      <c r="F12" s="58">
        <v>31</v>
      </c>
      <c r="G12" s="59">
        <v>979.76</v>
      </c>
      <c r="H12" s="34"/>
    </row>
    <row r="13" spans="1:8" ht="21">
      <c r="A13" s="35"/>
      <c r="B13" s="60"/>
      <c r="C13" s="56"/>
      <c r="D13" s="57"/>
      <c r="E13" s="58">
        <v>2548</v>
      </c>
      <c r="F13" s="58">
        <v>33</v>
      </c>
      <c r="G13" s="59">
        <v>1050.55</v>
      </c>
      <c r="H13" s="34"/>
    </row>
    <row r="14" spans="1:8" ht="21">
      <c r="A14" s="35"/>
      <c r="B14" s="60"/>
      <c r="C14" s="56"/>
      <c r="D14" s="57"/>
      <c r="E14" s="58">
        <v>2549</v>
      </c>
      <c r="F14" s="58">
        <v>1</v>
      </c>
      <c r="G14" s="59">
        <v>27.26</v>
      </c>
      <c r="H14" s="34"/>
    </row>
    <row r="15" spans="1:8" ht="21">
      <c r="A15" s="35"/>
      <c r="B15" s="60"/>
      <c r="C15" s="56"/>
      <c r="D15" s="57"/>
      <c r="E15" s="58">
        <v>2550</v>
      </c>
      <c r="F15" s="58">
        <v>5</v>
      </c>
      <c r="G15" s="59">
        <v>308.79000000000002</v>
      </c>
      <c r="H15" s="34"/>
    </row>
    <row r="16" spans="1:8" ht="21">
      <c r="A16" s="35"/>
      <c r="B16" s="60"/>
      <c r="C16" s="56"/>
      <c r="D16" s="57"/>
      <c r="E16" s="58">
        <v>2551</v>
      </c>
      <c r="F16" s="58">
        <v>23</v>
      </c>
      <c r="G16" s="59">
        <v>696.07</v>
      </c>
      <c r="H16" s="34"/>
    </row>
    <row r="17" spans="1:8" ht="21">
      <c r="A17" s="35"/>
      <c r="B17" s="60"/>
      <c r="C17" s="56"/>
      <c r="D17" s="57"/>
      <c r="E17" s="58">
        <v>2552</v>
      </c>
      <c r="F17" s="58">
        <v>31</v>
      </c>
      <c r="G17" s="59">
        <v>828.61</v>
      </c>
      <c r="H17" s="34"/>
    </row>
    <row r="18" spans="1:8" ht="21">
      <c r="A18" s="35"/>
      <c r="B18" s="60"/>
      <c r="C18" s="56"/>
      <c r="D18" s="57"/>
      <c r="E18" s="58">
        <v>2553</v>
      </c>
      <c r="F18" s="58">
        <v>4</v>
      </c>
      <c r="G18" s="59">
        <v>68.62</v>
      </c>
      <c r="H18" s="34"/>
    </row>
    <row r="19" spans="1:8" ht="21">
      <c r="A19" s="35"/>
      <c r="B19" s="60"/>
      <c r="C19" s="56"/>
      <c r="D19" s="57"/>
      <c r="E19" s="58">
        <v>2554</v>
      </c>
      <c r="F19" s="58">
        <v>14</v>
      </c>
      <c r="G19" s="59">
        <v>366.6</v>
      </c>
      <c r="H19" s="34"/>
    </row>
    <row r="20" spans="1:8" ht="21">
      <c r="A20" s="35"/>
      <c r="B20" s="60"/>
      <c r="C20" s="56"/>
      <c r="D20" s="57"/>
      <c r="E20" s="58">
        <v>2555</v>
      </c>
      <c r="F20" s="58">
        <v>31</v>
      </c>
      <c r="G20" s="59">
        <v>560.24</v>
      </c>
      <c r="H20" s="34"/>
    </row>
    <row r="21" spans="1:8" ht="21">
      <c r="A21" s="35"/>
      <c r="B21" s="60"/>
      <c r="C21" s="56"/>
      <c r="D21" s="57"/>
      <c r="E21" s="58">
        <v>2556</v>
      </c>
      <c r="F21" s="58">
        <v>48</v>
      </c>
      <c r="G21" s="59">
        <v>781.14</v>
      </c>
      <c r="H21" s="34"/>
    </row>
    <row r="22" spans="1:8" ht="21">
      <c r="A22" s="35"/>
      <c r="B22" s="60"/>
      <c r="C22" s="56"/>
      <c r="D22" s="57"/>
      <c r="E22" s="58">
        <v>2557</v>
      </c>
      <c r="F22" s="58">
        <v>36</v>
      </c>
      <c r="G22" s="59">
        <v>964.44</v>
      </c>
      <c r="H22" s="34"/>
    </row>
    <row r="23" spans="1:8" ht="21">
      <c r="A23" s="35"/>
      <c r="B23" s="60"/>
      <c r="C23" s="56"/>
      <c r="D23" s="57"/>
      <c r="E23" s="58">
        <v>2558</v>
      </c>
      <c r="F23" s="58">
        <v>60</v>
      </c>
      <c r="G23" s="59">
        <v>1455.12</v>
      </c>
      <c r="H23" s="34"/>
    </row>
    <row r="24" spans="1:8" ht="21">
      <c r="A24" s="35"/>
      <c r="B24" s="60"/>
      <c r="C24" s="56"/>
      <c r="D24" s="57"/>
      <c r="E24" s="58">
        <v>2559</v>
      </c>
      <c r="F24" s="58">
        <v>94</v>
      </c>
      <c r="G24" s="59">
        <v>2480.73</v>
      </c>
      <c r="H24" s="34"/>
    </row>
    <row r="25" spans="1:8" ht="21">
      <c r="A25" s="35"/>
      <c r="B25" s="223"/>
      <c r="C25" s="224"/>
      <c r="D25" s="225"/>
      <c r="E25" s="226">
        <v>2560</v>
      </c>
      <c r="F25" s="226">
        <v>123</v>
      </c>
      <c r="G25" s="227">
        <v>3353.07</v>
      </c>
      <c r="H25" s="34"/>
    </row>
    <row r="26" spans="1:8" ht="21">
      <c r="A26" s="35"/>
      <c r="B26" s="223"/>
      <c r="C26" s="224"/>
      <c r="D26" s="225"/>
      <c r="E26" s="226"/>
      <c r="F26" s="226"/>
      <c r="G26" s="227"/>
      <c r="H26" s="34"/>
    </row>
    <row r="27" spans="1:8" ht="21">
      <c r="A27" s="35"/>
      <c r="B27" s="302" t="s">
        <v>45</v>
      </c>
      <c r="C27" s="303"/>
      <c r="D27" s="304"/>
      <c r="E27" s="61"/>
      <c r="F27" s="61">
        <f>SUM(F11:F25)</f>
        <v>559</v>
      </c>
      <c r="G27" s="228">
        <f>SUM(G11:G26)</f>
        <v>14786.18</v>
      </c>
      <c r="H27" s="34"/>
    </row>
  </sheetData>
  <mergeCells count="5">
    <mergeCell ref="B9:D9"/>
    <mergeCell ref="B27:D27"/>
    <mergeCell ref="A3:H3"/>
    <mergeCell ref="A4:H4"/>
    <mergeCell ref="A5:H5"/>
  </mergeCells>
  <pageMargins left="0.51181102362204722" right="0.11811023622047245" top="0.35433070866141736" bottom="0.35433070866141736" header="0.11811023622047245" footer="0.11811023622047245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9"/>
  </sheetPr>
  <dimension ref="A1:H44"/>
  <sheetViews>
    <sheetView workbookViewId="0">
      <selection activeCell="C34" sqref="C34"/>
    </sheetView>
  </sheetViews>
  <sheetFormatPr defaultRowHeight="21"/>
  <cols>
    <col min="1" max="1" width="5.25" style="210" customWidth="1"/>
    <col min="2" max="2" width="23.375" style="1" customWidth="1"/>
    <col min="3" max="3" width="46.875" style="1" customWidth="1"/>
    <col min="4" max="4" width="10.875" style="2" customWidth="1"/>
    <col min="5" max="16384" width="9" style="1"/>
  </cols>
  <sheetData>
    <row r="1" spans="1:8">
      <c r="A1" s="300" t="s">
        <v>0</v>
      </c>
      <c r="B1" s="300"/>
      <c r="C1" s="300"/>
      <c r="D1" s="300"/>
      <c r="E1" s="239"/>
      <c r="F1" s="239"/>
      <c r="G1" s="239"/>
      <c r="H1" s="239"/>
    </row>
    <row r="2" spans="1:8">
      <c r="A2" s="300" t="s">
        <v>19</v>
      </c>
      <c r="B2" s="300"/>
      <c r="C2" s="300"/>
      <c r="D2" s="300"/>
      <c r="E2" s="239"/>
      <c r="F2" s="239"/>
      <c r="G2" s="239"/>
      <c r="H2" s="239"/>
    </row>
    <row r="3" spans="1:8">
      <c r="A3" s="296" t="s">
        <v>291</v>
      </c>
      <c r="B3" s="296"/>
      <c r="C3" s="296"/>
      <c r="D3" s="296"/>
      <c r="E3" s="240"/>
      <c r="F3" s="240"/>
      <c r="G3" s="240"/>
      <c r="H3" s="240"/>
    </row>
    <row r="5" spans="1:8">
      <c r="A5" s="305" t="s">
        <v>326</v>
      </c>
      <c r="B5" s="305"/>
      <c r="C5" s="305"/>
      <c r="D5" s="305"/>
    </row>
    <row r="7" spans="1:8">
      <c r="A7" s="241" t="s">
        <v>329</v>
      </c>
      <c r="B7" s="241" t="s">
        <v>327</v>
      </c>
      <c r="C7" s="241" t="s">
        <v>328</v>
      </c>
      <c r="D7" s="244" t="s">
        <v>24</v>
      </c>
    </row>
    <row r="8" spans="1:8">
      <c r="A8" s="91">
        <v>1</v>
      </c>
      <c r="B8" s="242" t="s">
        <v>330</v>
      </c>
      <c r="C8" s="242" t="s">
        <v>331</v>
      </c>
      <c r="D8" s="243">
        <v>16800</v>
      </c>
    </row>
    <row r="9" spans="1:8">
      <c r="A9" s="91">
        <v>2</v>
      </c>
      <c r="B9" s="242" t="s">
        <v>332</v>
      </c>
      <c r="C9" s="242" t="s">
        <v>333</v>
      </c>
      <c r="D9" s="243">
        <v>55250</v>
      </c>
    </row>
    <row r="10" spans="1:8">
      <c r="A10" s="91">
        <v>3</v>
      </c>
      <c r="B10" s="242" t="s">
        <v>336</v>
      </c>
      <c r="C10" s="242" t="s">
        <v>337</v>
      </c>
      <c r="D10" s="243">
        <v>33000</v>
      </c>
    </row>
    <row r="11" spans="1:8">
      <c r="A11" s="91">
        <v>4</v>
      </c>
      <c r="B11" s="242" t="s">
        <v>334</v>
      </c>
      <c r="C11" s="242" t="s">
        <v>335</v>
      </c>
      <c r="D11" s="243">
        <v>13200</v>
      </c>
    </row>
    <row r="12" spans="1:8">
      <c r="A12" s="91">
        <v>5</v>
      </c>
      <c r="B12" s="242" t="s">
        <v>338</v>
      </c>
      <c r="C12" s="242" t="s">
        <v>340</v>
      </c>
      <c r="D12" s="243">
        <v>33000</v>
      </c>
    </row>
    <row r="13" spans="1:8">
      <c r="A13" s="91">
        <v>6</v>
      </c>
      <c r="B13" s="242" t="s">
        <v>341</v>
      </c>
      <c r="C13" s="242" t="s">
        <v>344</v>
      </c>
      <c r="D13" s="243">
        <v>9720</v>
      </c>
    </row>
    <row r="14" spans="1:8">
      <c r="A14" s="91">
        <v>7</v>
      </c>
      <c r="B14" s="242" t="s">
        <v>342</v>
      </c>
      <c r="C14" s="242" t="s">
        <v>345</v>
      </c>
      <c r="D14" s="243">
        <v>4860</v>
      </c>
    </row>
    <row r="15" spans="1:8">
      <c r="A15" s="91">
        <v>8</v>
      </c>
      <c r="B15" s="242" t="s">
        <v>346</v>
      </c>
      <c r="C15" s="242" t="s">
        <v>347</v>
      </c>
      <c r="D15" s="243">
        <v>7300.82</v>
      </c>
    </row>
    <row r="16" spans="1:8">
      <c r="A16" s="91">
        <v>9</v>
      </c>
      <c r="B16" s="242" t="s">
        <v>348</v>
      </c>
      <c r="C16" s="242" t="s">
        <v>349</v>
      </c>
      <c r="D16" s="243">
        <v>40000</v>
      </c>
    </row>
    <row r="17" spans="1:4">
      <c r="A17" s="91">
        <v>10</v>
      </c>
      <c r="B17" s="242" t="s">
        <v>351</v>
      </c>
      <c r="C17" s="242" t="s">
        <v>350</v>
      </c>
      <c r="D17" s="243">
        <v>7957</v>
      </c>
    </row>
    <row r="18" spans="1:4">
      <c r="A18" s="91">
        <v>11</v>
      </c>
      <c r="B18" s="242" t="s">
        <v>352</v>
      </c>
      <c r="C18" s="242" t="s">
        <v>353</v>
      </c>
      <c r="D18" s="243">
        <v>18000</v>
      </c>
    </row>
    <row r="19" spans="1:4">
      <c r="A19" s="91">
        <v>12</v>
      </c>
      <c r="B19" s="242" t="s">
        <v>354</v>
      </c>
      <c r="C19" s="242" t="s">
        <v>355</v>
      </c>
      <c r="D19" s="243">
        <v>60000</v>
      </c>
    </row>
    <row r="20" spans="1:4">
      <c r="A20" s="91">
        <v>13</v>
      </c>
      <c r="B20" s="242" t="s">
        <v>356</v>
      </c>
      <c r="C20" s="242" t="s">
        <v>357</v>
      </c>
      <c r="D20" s="243">
        <v>30000</v>
      </c>
    </row>
    <row r="21" spans="1:4">
      <c r="A21" s="91">
        <v>14</v>
      </c>
      <c r="B21" s="242" t="s">
        <v>358</v>
      </c>
      <c r="C21" s="242" t="s">
        <v>359</v>
      </c>
      <c r="D21" s="243">
        <v>24000</v>
      </c>
    </row>
    <row r="22" spans="1:4">
      <c r="A22" s="91"/>
      <c r="B22" s="242"/>
      <c r="C22" s="242" t="s">
        <v>360</v>
      </c>
      <c r="D22" s="243"/>
    </row>
    <row r="23" spans="1:4">
      <c r="A23" s="91">
        <v>15</v>
      </c>
      <c r="B23" s="242" t="s">
        <v>361</v>
      </c>
      <c r="C23" s="242" t="s">
        <v>362</v>
      </c>
      <c r="D23" s="243">
        <v>55856.58</v>
      </c>
    </row>
    <row r="24" spans="1:4">
      <c r="A24" s="91">
        <v>16</v>
      </c>
      <c r="B24" s="242" t="s">
        <v>339</v>
      </c>
      <c r="C24" s="242" t="s">
        <v>343</v>
      </c>
      <c r="D24" s="243">
        <v>29599</v>
      </c>
    </row>
    <row r="25" spans="1:4">
      <c r="A25" s="91">
        <v>17</v>
      </c>
      <c r="B25" s="242" t="s">
        <v>363</v>
      </c>
      <c r="C25" s="242" t="s">
        <v>364</v>
      </c>
      <c r="D25" s="243">
        <v>60000</v>
      </c>
    </row>
    <row r="26" spans="1:4">
      <c r="A26" s="91">
        <v>18</v>
      </c>
      <c r="B26" s="242" t="s">
        <v>365</v>
      </c>
      <c r="C26" s="242" t="s">
        <v>366</v>
      </c>
      <c r="D26" s="243">
        <v>20000</v>
      </c>
    </row>
    <row r="27" spans="1:4">
      <c r="A27" s="91"/>
      <c r="B27" s="242"/>
      <c r="C27" s="242"/>
      <c r="D27" s="243"/>
    </row>
    <row r="28" spans="1:4">
      <c r="A28" s="91"/>
      <c r="B28" s="242"/>
      <c r="C28" s="242"/>
      <c r="D28" s="243"/>
    </row>
    <row r="29" spans="1:4">
      <c r="A29" s="91"/>
      <c r="B29" s="242"/>
      <c r="C29" s="242"/>
      <c r="D29" s="243"/>
    </row>
    <row r="30" spans="1:4" ht="21.75" thickBot="1">
      <c r="A30" s="249"/>
      <c r="B30" s="250"/>
      <c r="C30" s="251"/>
      <c r="D30" s="248">
        <f>SUM(D8:D29)</f>
        <v>518543.4</v>
      </c>
    </row>
    <row r="31" spans="1:4" ht="21.75" thickTop="1">
      <c r="A31" s="245"/>
      <c r="B31" s="246"/>
      <c r="C31" s="246"/>
      <c r="D31" s="247"/>
    </row>
    <row r="32" spans="1:4">
      <c r="A32" s="245"/>
      <c r="B32" s="246"/>
      <c r="C32" s="246"/>
      <c r="D32" s="247"/>
    </row>
    <row r="33" spans="1:4">
      <c r="A33" s="245"/>
      <c r="B33" s="246"/>
      <c r="C33" s="246"/>
      <c r="D33" s="247"/>
    </row>
    <row r="34" spans="1:4">
      <c r="A34" s="245"/>
      <c r="B34" s="246"/>
      <c r="C34" s="246"/>
      <c r="D34" s="247"/>
    </row>
    <row r="35" spans="1:4">
      <c r="A35" s="245"/>
      <c r="B35" s="246"/>
      <c r="C35" s="246"/>
      <c r="D35" s="247"/>
    </row>
    <row r="36" spans="1:4">
      <c r="A36" s="245"/>
      <c r="B36" s="246"/>
      <c r="C36" s="246"/>
      <c r="D36" s="247"/>
    </row>
    <row r="37" spans="1:4">
      <c r="A37" s="245"/>
      <c r="B37" s="246"/>
      <c r="C37" s="246"/>
      <c r="D37" s="247"/>
    </row>
    <row r="38" spans="1:4">
      <c r="A38" s="245"/>
      <c r="B38" s="246"/>
      <c r="C38" s="246"/>
      <c r="D38" s="247"/>
    </row>
    <row r="39" spans="1:4">
      <c r="A39" s="245"/>
      <c r="B39" s="246"/>
      <c r="C39" s="246"/>
      <c r="D39" s="247"/>
    </row>
    <row r="40" spans="1:4">
      <c r="A40" s="245"/>
      <c r="B40" s="246"/>
      <c r="C40" s="246"/>
      <c r="D40" s="247"/>
    </row>
    <row r="41" spans="1:4">
      <c r="A41" s="245"/>
      <c r="B41" s="246"/>
      <c r="C41" s="246"/>
      <c r="D41" s="247"/>
    </row>
    <row r="42" spans="1:4">
      <c r="A42" s="245"/>
      <c r="B42" s="246"/>
      <c r="C42" s="246"/>
      <c r="D42" s="247"/>
    </row>
    <row r="43" spans="1:4">
      <c r="A43" s="245"/>
      <c r="B43" s="246"/>
      <c r="C43" s="246"/>
      <c r="D43" s="247"/>
    </row>
    <row r="44" spans="1:4">
      <c r="A44" s="245"/>
      <c r="B44" s="246"/>
      <c r="C44" s="246"/>
      <c r="D44" s="247"/>
    </row>
  </sheetData>
  <mergeCells count="4">
    <mergeCell ref="A1:D1"/>
    <mergeCell ref="A2:D2"/>
    <mergeCell ref="A3:D3"/>
    <mergeCell ref="A5:D5"/>
  </mergeCells>
  <pageMargins left="0.70866141732283472" right="0.11811023622047245" top="0.55118110236220474" bottom="0.35433070866141736" header="0.11811023622047245" footer="0.11811023622047245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9"/>
  </sheetPr>
  <dimension ref="A1:I68"/>
  <sheetViews>
    <sheetView view="pageBreakPreview" zoomScaleSheetLayoutView="100" workbookViewId="0">
      <selection activeCell="F40" sqref="F40:G42"/>
    </sheetView>
  </sheetViews>
  <sheetFormatPr defaultRowHeight="18"/>
  <cols>
    <col min="1" max="1" width="11.625" style="146" customWidth="1"/>
    <col min="2" max="2" width="12.25" style="146" customWidth="1"/>
    <col min="3" max="3" width="14.875" style="146" customWidth="1"/>
    <col min="4" max="4" width="14.75" style="146" customWidth="1"/>
    <col min="5" max="5" width="22" style="146" customWidth="1"/>
    <col min="6" max="6" width="33.875" style="146" customWidth="1"/>
    <col min="7" max="7" width="12.375" style="146" customWidth="1"/>
    <col min="8" max="8" width="14.5" style="146" bestFit="1" customWidth="1"/>
    <col min="9" max="9" width="16.5" style="147" bestFit="1" customWidth="1"/>
    <col min="10" max="16384" width="9" style="146"/>
  </cols>
  <sheetData>
    <row r="1" spans="1:7" ht="18.75">
      <c r="A1" s="307" t="s">
        <v>0</v>
      </c>
      <c r="B1" s="307"/>
      <c r="C1" s="307"/>
      <c r="D1" s="307"/>
      <c r="E1" s="307"/>
      <c r="F1" s="307"/>
      <c r="G1" s="307"/>
    </row>
    <row r="2" spans="1:7" ht="18.75">
      <c r="A2" s="307" t="s">
        <v>19</v>
      </c>
      <c r="B2" s="307"/>
      <c r="C2" s="307"/>
      <c r="D2" s="307"/>
      <c r="E2" s="307"/>
      <c r="F2" s="307"/>
      <c r="G2" s="307"/>
    </row>
    <row r="3" spans="1:7" ht="18.75">
      <c r="A3" s="306" t="s">
        <v>291</v>
      </c>
      <c r="B3" s="306"/>
      <c r="C3" s="306"/>
      <c r="D3" s="306"/>
      <c r="E3" s="306"/>
      <c r="F3" s="306"/>
      <c r="G3" s="306"/>
    </row>
    <row r="4" spans="1:7" ht="18.75">
      <c r="A4" s="145"/>
      <c r="B4" s="145"/>
      <c r="C4" s="145"/>
      <c r="D4" s="145"/>
      <c r="E4" s="145"/>
      <c r="F4" s="145"/>
      <c r="G4" s="137"/>
    </row>
    <row r="5" spans="1:7" ht="18.75">
      <c r="A5" s="148" t="s">
        <v>367</v>
      </c>
      <c r="B5" s="149"/>
      <c r="C5" s="149"/>
      <c r="D5" s="149"/>
      <c r="E5" s="149"/>
      <c r="F5" s="149"/>
      <c r="G5" s="150"/>
    </row>
    <row r="6" spans="1:7" ht="18.75">
      <c r="A6" s="151" t="s">
        <v>69</v>
      </c>
      <c r="B6" s="151" t="s">
        <v>70</v>
      </c>
      <c r="C6" s="151" t="s">
        <v>71</v>
      </c>
      <c r="D6" s="151" t="s">
        <v>72</v>
      </c>
      <c r="E6" s="151" t="s">
        <v>73</v>
      </c>
      <c r="F6" s="151" t="s">
        <v>74</v>
      </c>
      <c r="G6" s="152" t="s">
        <v>24</v>
      </c>
    </row>
    <row r="7" spans="1:7" ht="18.75">
      <c r="A7" s="153" t="s">
        <v>75</v>
      </c>
      <c r="B7" s="154" t="s">
        <v>263</v>
      </c>
      <c r="C7" s="234" t="s">
        <v>293</v>
      </c>
      <c r="D7" s="234" t="s">
        <v>295</v>
      </c>
      <c r="E7" s="236" t="s">
        <v>296</v>
      </c>
      <c r="F7" s="234"/>
      <c r="G7" s="235">
        <v>80120</v>
      </c>
    </row>
    <row r="8" spans="1:7" ht="18.75">
      <c r="A8" s="153"/>
      <c r="B8" s="154"/>
      <c r="C8" s="236" t="s">
        <v>294</v>
      </c>
      <c r="D8" s="233"/>
      <c r="E8" s="236" t="s">
        <v>297</v>
      </c>
      <c r="F8" s="233"/>
      <c r="G8" s="235">
        <v>262650</v>
      </c>
    </row>
    <row r="9" spans="1:7" ht="18.75">
      <c r="A9" s="153" t="s">
        <v>75</v>
      </c>
      <c r="B9" s="154" t="s">
        <v>76</v>
      </c>
      <c r="C9" s="154" t="s">
        <v>76</v>
      </c>
      <c r="D9" s="154" t="s">
        <v>79</v>
      </c>
      <c r="E9" s="154" t="s">
        <v>80</v>
      </c>
      <c r="F9" s="154" t="s">
        <v>261</v>
      </c>
      <c r="G9" s="155">
        <v>7000</v>
      </c>
    </row>
    <row r="10" spans="1:7" ht="18.75">
      <c r="A10" s="156"/>
      <c r="B10" s="154" t="s">
        <v>76</v>
      </c>
      <c r="C10" s="154" t="s">
        <v>76</v>
      </c>
      <c r="D10" s="154" t="s">
        <v>79</v>
      </c>
      <c r="E10" s="154" t="s">
        <v>80</v>
      </c>
      <c r="F10" s="154" t="s">
        <v>81</v>
      </c>
      <c r="G10" s="155">
        <v>6800</v>
      </c>
    </row>
    <row r="11" spans="1:7" ht="18.75">
      <c r="A11" s="157" t="s">
        <v>78</v>
      </c>
      <c r="B11" s="154" t="s">
        <v>76</v>
      </c>
      <c r="C11" s="154" t="s">
        <v>76</v>
      </c>
      <c r="D11" s="154" t="s">
        <v>79</v>
      </c>
      <c r="E11" s="154" t="s">
        <v>80</v>
      </c>
      <c r="F11" s="154" t="s">
        <v>82</v>
      </c>
      <c r="G11" s="155">
        <v>7300</v>
      </c>
    </row>
    <row r="12" spans="1:7" ht="18.75">
      <c r="A12" s="157" t="s">
        <v>78</v>
      </c>
      <c r="B12" s="154" t="s">
        <v>76</v>
      </c>
      <c r="C12" s="154" t="s">
        <v>76</v>
      </c>
      <c r="D12" s="154" t="s">
        <v>79</v>
      </c>
      <c r="E12" s="154" t="s">
        <v>80</v>
      </c>
      <c r="F12" s="154" t="s">
        <v>84</v>
      </c>
      <c r="G12" s="155">
        <v>7000</v>
      </c>
    </row>
    <row r="13" spans="1:7" ht="18.75">
      <c r="A13" s="157" t="s">
        <v>78</v>
      </c>
      <c r="B13" s="154" t="s">
        <v>76</v>
      </c>
      <c r="C13" s="154" t="s">
        <v>76</v>
      </c>
      <c r="D13" s="154" t="s">
        <v>79</v>
      </c>
      <c r="E13" s="154" t="s">
        <v>80</v>
      </c>
      <c r="F13" s="154" t="s">
        <v>83</v>
      </c>
      <c r="G13" s="155">
        <v>6500</v>
      </c>
    </row>
    <row r="14" spans="1:7" ht="18.75">
      <c r="A14" s="157" t="s">
        <v>78</v>
      </c>
      <c r="B14" s="154" t="s">
        <v>76</v>
      </c>
      <c r="C14" s="154" t="s">
        <v>76</v>
      </c>
      <c r="D14" s="154" t="s">
        <v>79</v>
      </c>
      <c r="E14" s="154" t="s">
        <v>80</v>
      </c>
      <c r="F14" s="154" t="s">
        <v>262</v>
      </c>
      <c r="G14" s="155">
        <v>6500</v>
      </c>
    </row>
    <row r="15" spans="1:7" ht="18.75">
      <c r="A15" s="157" t="s">
        <v>78</v>
      </c>
      <c r="B15" s="154" t="s">
        <v>76</v>
      </c>
      <c r="C15" s="154" t="s">
        <v>77</v>
      </c>
      <c r="D15" s="154" t="s">
        <v>79</v>
      </c>
      <c r="E15" s="154" t="s">
        <v>80</v>
      </c>
      <c r="F15" s="154" t="s">
        <v>85</v>
      </c>
      <c r="G15" s="155">
        <v>7000</v>
      </c>
    </row>
    <row r="16" spans="1:7" ht="18.75">
      <c r="A16" s="157" t="s">
        <v>78</v>
      </c>
      <c r="B16" s="154" t="s">
        <v>76</v>
      </c>
      <c r="C16" s="154" t="s">
        <v>77</v>
      </c>
      <c r="D16" s="154" t="s">
        <v>79</v>
      </c>
      <c r="E16" s="154" t="s">
        <v>80</v>
      </c>
      <c r="F16" s="154" t="s">
        <v>86</v>
      </c>
      <c r="G16" s="155">
        <v>7300</v>
      </c>
    </row>
    <row r="17" spans="1:7" ht="18.75">
      <c r="A17" s="157" t="s">
        <v>78</v>
      </c>
      <c r="B17" s="154" t="s">
        <v>76</v>
      </c>
      <c r="C17" s="154" t="s">
        <v>77</v>
      </c>
      <c r="D17" s="154" t="s">
        <v>79</v>
      </c>
      <c r="E17" s="154" t="s">
        <v>80</v>
      </c>
      <c r="F17" s="154" t="s">
        <v>87</v>
      </c>
      <c r="G17" s="155">
        <v>7000</v>
      </c>
    </row>
    <row r="18" spans="1:7" ht="18.75">
      <c r="A18" s="157"/>
      <c r="B18" s="154"/>
      <c r="C18" s="154" t="s">
        <v>77</v>
      </c>
      <c r="D18" s="154" t="s">
        <v>79</v>
      </c>
      <c r="E18" s="154" t="s">
        <v>80</v>
      </c>
      <c r="F18" s="154" t="s">
        <v>292</v>
      </c>
      <c r="G18" s="155">
        <v>6500</v>
      </c>
    </row>
    <row r="19" spans="1:7" ht="18.75">
      <c r="A19" s="157"/>
      <c r="B19" s="154" t="s">
        <v>263</v>
      </c>
      <c r="C19" s="154" t="s">
        <v>89</v>
      </c>
      <c r="D19" s="154" t="s">
        <v>79</v>
      </c>
      <c r="E19" s="154" t="s">
        <v>80</v>
      </c>
      <c r="F19" s="154" t="s">
        <v>264</v>
      </c>
      <c r="G19" s="155">
        <v>7000</v>
      </c>
    </row>
    <row r="20" spans="1:7" ht="18.75">
      <c r="A20" s="157"/>
      <c r="B20" s="154" t="s">
        <v>263</v>
      </c>
      <c r="C20" s="154" t="s">
        <v>89</v>
      </c>
      <c r="D20" s="154" t="s">
        <v>79</v>
      </c>
      <c r="E20" s="154" t="s">
        <v>80</v>
      </c>
      <c r="F20" s="154" t="s">
        <v>265</v>
      </c>
      <c r="G20" s="155">
        <v>7100</v>
      </c>
    </row>
    <row r="21" spans="1:7" ht="18.75">
      <c r="A21" s="157"/>
      <c r="B21" s="154" t="s">
        <v>263</v>
      </c>
      <c r="C21" s="154" t="s">
        <v>89</v>
      </c>
      <c r="D21" s="154" t="s">
        <v>79</v>
      </c>
      <c r="E21" s="154" t="s">
        <v>80</v>
      </c>
      <c r="F21" s="154" t="s">
        <v>266</v>
      </c>
      <c r="G21" s="155">
        <v>7100</v>
      </c>
    </row>
    <row r="22" spans="1:7" ht="18.75">
      <c r="A22" s="157"/>
      <c r="B22" s="154" t="s">
        <v>263</v>
      </c>
      <c r="C22" s="154" t="s">
        <v>89</v>
      </c>
      <c r="D22" s="154" t="s">
        <v>79</v>
      </c>
      <c r="E22" s="154" t="s">
        <v>80</v>
      </c>
      <c r="F22" s="154" t="s">
        <v>266</v>
      </c>
      <c r="G22" s="155">
        <v>6800</v>
      </c>
    </row>
    <row r="23" spans="1:7" ht="18.75">
      <c r="A23" s="157" t="s">
        <v>78</v>
      </c>
      <c r="B23" s="154" t="s">
        <v>88</v>
      </c>
      <c r="C23" s="154" t="s">
        <v>267</v>
      </c>
      <c r="D23" s="154" t="s">
        <v>79</v>
      </c>
      <c r="E23" s="154" t="s">
        <v>80</v>
      </c>
      <c r="F23" s="154" t="s">
        <v>268</v>
      </c>
      <c r="G23" s="155">
        <v>7300</v>
      </c>
    </row>
    <row r="24" spans="1:7" ht="18.75">
      <c r="A24" s="157" t="s">
        <v>78</v>
      </c>
      <c r="B24" s="154" t="s">
        <v>88</v>
      </c>
      <c r="C24" s="154" t="s">
        <v>267</v>
      </c>
      <c r="D24" s="154" t="s">
        <v>79</v>
      </c>
      <c r="E24" s="154" t="s">
        <v>80</v>
      </c>
      <c r="F24" s="154" t="s">
        <v>269</v>
      </c>
      <c r="G24" s="155">
        <v>7000</v>
      </c>
    </row>
    <row r="25" spans="1:7" ht="18.75">
      <c r="A25" s="157" t="s">
        <v>78</v>
      </c>
      <c r="B25" s="154" t="s">
        <v>88</v>
      </c>
      <c r="C25" s="154" t="s">
        <v>267</v>
      </c>
      <c r="D25" s="154" t="s">
        <v>79</v>
      </c>
      <c r="E25" s="154" t="s">
        <v>80</v>
      </c>
      <c r="F25" s="154" t="s">
        <v>269</v>
      </c>
      <c r="G25" s="155">
        <v>7000</v>
      </c>
    </row>
    <row r="26" spans="1:7" ht="18.75">
      <c r="A26" s="157" t="s">
        <v>78</v>
      </c>
      <c r="B26" s="154" t="s">
        <v>88</v>
      </c>
      <c r="C26" s="154" t="s">
        <v>267</v>
      </c>
      <c r="D26" s="154" t="s">
        <v>79</v>
      </c>
      <c r="E26" s="154" t="s">
        <v>80</v>
      </c>
      <c r="F26" s="154" t="s">
        <v>269</v>
      </c>
      <c r="G26" s="155">
        <v>6500</v>
      </c>
    </row>
    <row r="27" spans="1:7" ht="18.75">
      <c r="A27" s="157" t="s">
        <v>78</v>
      </c>
      <c r="B27" s="154" t="s">
        <v>91</v>
      </c>
      <c r="C27" s="154" t="s">
        <v>89</v>
      </c>
      <c r="D27" s="154" t="s">
        <v>79</v>
      </c>
      <c r="E27" s="154" t="s">
        <v>80</v>
      </c>
      <c r="F27" s="154" t="s">
        <v>270</v>
      </c>
      <c r="G27" s="155">
        <v>6500</v>
      </c>
    </row>
    <row r="28" spans="1:7" ht="18.75">
      <c r="A28" s="157" t="s">
        <v>78</v>
      </c>
      <c r="B28" s="154" t="s">
        <v>88</v>
      </c>
      <c r="C28" s="154" t="s">
        <v>89</v>
      </c>
      <c r="D28" s="154" t="s">
        <v>79</v>
      </c>
      <c r="E28" s="154" t="s">
        <v>80</v>
      </c>
      <c r="F28" s="154" t="s">
        <v>272</v>
      </c>
      <c r="G28" s="158">
        <v>7500</v>
      </c>
    </row>
    <row r="29" spans="1:7" ht="19.5" thickBot="1">
      <c r="A29" s="159"/>
      <c r="B29" s="159"/>
      <c r="C29" s="159"/>
      <c r="D29" s="159"/>
      <c r="E29" s="159"/>
      <c r="F29" s="159"/>
      <c r="G29" s="160">
        <f>SUM(G7:G28)</f>
        <v>481470</v>
      </c>
    </row>
    <row r="30" spans="1:7" ht="19.5" thickTop="1">
      <c r="A30" s="161"/>
      <c r="B30" s="161"/>
      <c r="C30" s="161"/>
      <c r="D30" s="161"/>
      <c r="E30" s="161"/>
      <c r="F30" s="161"/>
      <c r="G30" s="162"/>
    </row>
    <row r="31" spans="1:7" ht="18.75">
      <c r="A31" s="307" t="s">
        <v>0</v>
      </c>
      <c r="B31" s="307"/>
      <c r="C31" s="307"/>
      <c r="D31" s="307"/>
      <c r="E31" s="307"/>
      <c r="F31" s="307"/>
      <c r="G31" s="307"/>
    </row>
    <row r="32" spans="1:7" ht="18.75">
      <c r="A32" s="307" t="s">
        <v>19</v>
      </c>
      <c r="B32" s="307"/>
      <c r="C32" s="307"/>
      <c r="D32" s="307"/>
      <c r="E32" s="307"/>
      <c r="F32" s="307"/>
      <c r="G32" s="307"/>
    </row>
    <row r="33" spans="1:9" ht="18.75">
      <c r="A33" s="306" t="s">
        <v>291</v>
      </c>
      <c r="B33" s="306"/>
      <c r="C33" s="306"/>
      <c r="D33" s="306"/>
      <c r="E33" s="306"/>
      <c r="F33" s="306"/>
      <c r="G33" s="306"/>
    </row>
    <row r="34" spans="1:9" ht="18.75">
      <c r="A34" s="145"/>
      <c r="B34" s="145"/>
      <c r="C34" s="145"/>
      <c r="D34" s="145"/>
      <c r="E34" s="145"/>
      <c r="F34" s="145"/>
      <c r="G34" s="137"/>
    </row>
    <row r="35" spans="1:9" ht="18.75">
      <c r="A35" s="148" t="s">
        <v>367</v>
      </c>
      <c r="B35" s="149"/>
      <c r="C35" s="149"/>
      <c r="D35" s="149"/>
      <c r="E35" s="149"/>
      <c r="F35" s="149"/>
      <c r="G35" s="150"/>
    </row>
    <row r="36" spans="1:9" ht="18.75">
      <c r="A36" s="151" t="s">
        <v>69</v>
      </c>
      <c r="B36" s="151" t="s">
        <v>70</v>
      </c>
      <c r="C36" s="151" t="s">
        <v>71</v>
      </c>
      <c r="D36" s="151" t="s">
        <v>72</v>
      </c>
      <c r="E36" s="151" t="s">
        <v>73</v>
      </c>
      <c r="F36" s="151" t="s">
        <v>74</v>
      </c>
      <c r="G36" s="152" t="s">
        <v>24</v>
      </c>
    </row>
    <row r="37" spans="1:9" ht="18.75">
      <c r="A37" s="163"/>
      <c r="B37" s="163"/>
      <c r="C37" s="163"/>
      <c r="D37" s="163"/>
      <c r="E37" s="163"/>
      <c r="F37" s="163"/>
      <c r="G37" s="164">
        <f>G29</f>
        <v>481470</v>
      </c>
    </row>
    <row r="38" spans="1:9" ht="18.75">
      <c r="A38" s="156" t="s">
        <v>75</v>
      </c>
      <c r="B38" s="154" t="s">
        <v>92</v>
      </c>
      <c r="C38" s="154" t="s">
        <v>89</v>
      </c>
      <c r="D38" s="154" t="s">
        <v>79</v>
      </c>
      <c r="E38" s="154" t="s">
        <v>80</v>
      </c>
      <c r="F38" s="154" t="s">
        <v>271</v>
      </c>
      <c r="G38" s="155">
        <v>7000</v>
      </c>
    </row>
    <row r="39" spans="1:9" ht="18.75">
      <c r="A39" s="157" t="s">
        <v>78</v>
      </c>
      <c r="B39" s="154" t="s">
        <v>90</v>
      </c>
      <c r="C39" s="154" t="s">
        <v>89</v>
      </c>
      <c r="D39" s="154" t="s">
        <v>93</v>
      </c>
      <c r="E39" s="154" t="s">
        <v>94</v>
      </c>
      <c r="F39" s="154" t="s">
        <v>95</v>
      </c>
      <c r="G39" s="155">
        <v>555664.80000000005</v>
      </c>
    </row>
    <row r="40" spans="1:9" ht="18.75">
      <c r="A40" s="157" t="s">
        <v>78</v>
      </c>
      <c r="B40" s="154" t="s">
        <v>88</v>
      </c>
      <c r="C40" s="154" t="s">
        <v>298</v>
      </c>
      <c r="D40" s="154" t="s">
        <v>97</v>
      </c>
      <c r="E40" s="154" t="s">
        <v>119</v>
      </c>
      <c r="F40" s="154" t="s">
        <v>299</v>
      </c>
      <c r="G40" s="155">
        <v>299500</v>
      </c>
    </row>
    <row r="41" spans="1:9" ht="18.75">
      <c r="A41" s="157" t="s">
        <v>78</v>
      </c>
      <c r="B41" s="154" t="s">
        <v>88</v>
      </c>
      <c r="C41" s="154" t="s">
        <v>298</v>
      </c>
      <c r="D41" s="154" t="s">
        <v>97</v>
      </c>
      <c r="E41" s="154" t="s">
        <v>119</v>
      </c>
      <c r="F41" s="154" t="s">
        <v>300</v>
      </c>
      <c r="G41" s="155">
        <v>299400</v>
      </c>
    </row>
    <row r="42" spans="1:9" ht="18.75">
      <c r="A42" s="157" t="s">
        <v>78</v>
      </c>
      <c r="B42" s="154" t="s">
        <v>88</v>
      </c>
      <c r="C42" s="154" t="s">
        <v>298</v>
      </c>
      <c r="D42" s="154" t="s">
        <v>97</v>
      </c>
      <c r="E42" s="154" t="s">
        <v>119</v>
      </c>
      <c r="F42" s="154" t="s">
        <v>301</v>
      </c>
      <c r="G42" s="155">
        <v>299600</v>
      </c>
    </row>
    <row r="43" spans="1:9" ht="18.75">
      <c r="A43" s="157" t="s">
        <v>78</v>
      </c>
      <c r="B43" s="154" t="s">
        <v>88</v>
      </c>
      <c r="C43" s="154" t="s">
        <v>298</v>
      </c>
      <c r="D43" s="154" t="s">
        <v>97</v>
      </c>
      <c r="E43" s="154" t="s">
        <v>119</v>
      </c>
      <c r="F43" s="154" t="s">
        <v>303</v>
      </c>
      <c r="G43" s="155">
        <v>199000</v>
      </c>
    </row>
    <row r="44" spans="1:9" ht="18.75">
      <c r="A44" s="157"/>
      <c r="B44" s="154"/>
      <c r="C44" s="154"/>
      <c r="D44" s="154"/>
      <c r="E44" s="154"/>
      <c r="F44" s="154" t="s">
        <v>304</v>
      </c>
      <c r="G44" s="155"/>
    </row>
    <row r="45" spans="1:9" ht="18.75">
      <c r="A45" s="157" t="s">
        <v>137</v>
      </c>
      <c r="B45" s="154" t="s">
        <v>88</v>
      </c>
      <c r="C45" s="154" t="s">
        <v>298</v>
      </c>
      <c r="D45" s="154" t="s">
        <v>97</v>
      </c>
      <c r="E45" s="154" t="s">
        <v>119</v>
      </c>
      <c r="F45" s="154" t="s">
        <v>303</v>
      </c>
      <c r="G45" s="155">
        <v>2000000</v>
      </c>
    </row>
    <row r="46" spans="1:9" ht="18.75">
      <c r="A46" s="157" t="s">
        <v>302</v>
      </c>
      <c r="B46" s="154"/>
      <c r="C46" s="154"/>
      <c r="D46" s="154"/>
      <c r="E46" s="154"/>
      <c r="F46" s="154" t="s">
        <v>304</v>
      </c>
      <c r="G46" s="155"/>
      <c r="I46" s="147">
        <v>3065520</v>
      </c>
    </row>
    <row r="47" spans="1:9" ht="18.75">
      <c r="A47" s="154"/>
      <c r="B47" s="154"/>
      <c r="C47" s="154"/>
      <c r="D47" s="154"/>
      <c r="E47" s="154"/>
      <c r="F47" s="154"/>
      <c r="G47" s="155"/>
      <c r="I47" s="147">
        <v>5189658.5999999996</v>
      </c>
    </row>
    <row r="48" spans="1:9" ht="18.75">
      <c r="A48" s="157"/>
      <c r="B48" s="154"/>
      <c r="C48" s="154"/>
      <c r="D48" s="154"/>
      <c r="E48" s="154"/>
      <c r="F48" s="154"/>
      <c r="G48" s="155"/>
      <c r="I48" s="147">
        <v>8043</v>
      </c>
    </row>
    <row r="49" spans="1:9" ht="18.75">
      <c r="A49" s="157"/>
      <c r="B49" s="154"/>
      <c r="C49" s="154"/>
      <c r="D49" s="154"/>
      <c r="E49" s="154"/>
      <c r="F49" s="154"/>
      <c r="G49" s="155"/>
    </row>
    <row r="50" spans="1:9" ht="18.75">
      <c r="A50" s="157"/>
      <c r="B50" s="154"/>
      <c r="C50" s="154"/>
      <c r="D50" s="154"/>
      <c r="E50" s="154"/>
      <c r="F50" s="154"/>
      <c r="G50" s="155"/>
      <c r="I50" s="147">
        <f>SUM(I46:I49)</f>
        <v>8263221.5999999996</v>
      </c>
    </row>
    <row r="51" spans="1:9" ht="18.75">
      <c r="A51" s="157"/>
      <c r="B51" s="154"/>
      <c r="C51" s="154"/>
      <c r="D51" s="154"/>
      <c r="E51" s="154"/>
      <c r="F51" s="154"/>
      <c r="G51" s="155"/>
    </row>
    <row r="52" spans="1:9" ht="18.75">
      <c r="A52" s="157"/>
      <c r="B52" s="154"/>
      <c r="C52" s="154"/>
      <c r="D52" s="154"/>
      <c r="E52" s="154"/>
      <c r="F52" s="154"/>
      <c r="G52" s="155"/>
    </row>
    <row r="53" spans="1:9" ht="18.75">
      <c r="A53" s="154"/>
      <c r="B53" s="154"/>
      <c r="C53" s="154"/>
      <c r="D53" s="154"/>
      <c r="E53" s="154"/>
      <c r="F53" s="154"/>
      <c r="G53" s="155"/>
    </row>
    <row r="54" spans="1:9" ht="19.5" thickBot="1">
      <c r="A54" s="159"/>
      <c r="B54" s="159"/>
      <c r="C54" s="159"/>
      <c r="D54" s="159"/>
      <c r="E54" s="165"/>
      <c r="F54" s="159"/>
      <c r="G54" s="160">
        <f>SUM(G37:G53)</f>
        <v>4141634.8</v>
      </c>
    </row>
    <row r="55" spans="1:9" ht="19.5" thickTop="1">
      <c r="A55" s="161"/>
      <c r="B55" s="161"/>
      <c r="C55" s="161"/>
      <c r="D55" s="161"/>
      <c r="E55" s="161"/>
      <c r="F55" s="161"/>
      <c r="G55" s="162"/>
    </row>
    <row r="56" spans="1:9" ht="18.75">
      <c r="A56" s="161"/>
      <c r="B56" s="161"/>
      <c r="C56" s="161"/>
      <c r="D56" s="161"/>
      <c r="E56" s="161"/>
      <c r="F56" s="161"/>
      <c r="G56" s="162"/>
    </row>
    <row r="57" spans="1:9" ht="18.75">
      <c r="A57" s="161"/>
      <c r="B57" s="161"/>
      <c r="C57" s="161"/>
      <c r="D57" s="161"/>
      <c r="E57" s="161"/>
      <c r="F57" s="161"/>
      <c r="G57" s="162"/>
    </row>
    <row r="58" spans="1:9" ht="18.75">
      <c r="A58" s="161"/>
      <c r="B58" s="161"/>
      <c r="C58" s="161"/>
      <c r="D58" s="161"/>
      <c r="E58" s="161"/>
      <c r="F58" s="161"/>
      <c r="G58" s="162"/>
    </row>
    <row r="63" spans="1:9" ht="18.75">
      <c r="A63" s="131"/>
      <c r="B63" s="132"/>
      <c r="C63" s="132"/>
      <c r="D63" s="132"/>
      <c r="E63" s="132"/>
      <c r="F63" s="132"/>
      <c r="G63" s="132"/>
      <c r="H63" s="133"/>
    </row>
    <row r="64" spans="1:9" ht="18.75">
      <c r="A64" s="131"/>
      <c r="B64" s="132"/>
      <c r="C64" s="132"/>
      <c r="D64" s="132"/>
      <c r="E64" s="132"/>
      <c r="F64" s="132"/>
      <c r="G64" s="132"/>
      <c r="H64" s="134"/>
    </row>
    <row r="65" spans="1:8" ht="18.75">
      <c r="A65" s="131"/>
      <c r="B65" s="132"/>
      <c r="C65" s="132"/>
      <c r="D65" s="132"/>
      <c r="E65" s="132"/>
      <c r="F65" s="132"/>
      <c r="G65" s="132"/>
      <c r="H65" s="134"/>
    </row>
    <row r="66" spans="1:8" ht="18.75">
      <c r="A66" s="131"/>
      <c r="B66" s="132"/>
      <c r="C66" s="132"/>
      <c r="D66" s="132"/>
      <c r="E66" s="132"/>
      <c r="F66" s="132"/>
      <c r="G66" s="132"/>
      <c r="H66" s="134"/>
    </row>
    <row r="67" spans="1:8" ht="18.75">
      <c r="A67" s="131"/>
      <c r="B67" s="132"/>
      <c r="C67" s="132"/>
      <c r="D67" s="132"/>
      <c r="E67" s="132"/>
      <c r="F67" s="132"/>
      <c r="G67" s="132"/>
      <c r="H67" s="134"/>
    </row>
    <row r="68" spans="1:8" ht="18.75">
      <c r="A68" s="131"/>
      <c r="B68" s="132"/>
      <c r="C68" s="132"/>
      <c r="D68" s="132"/>
      <c r="E68" s="132"/>
      <c r="F68" s="132"/>
      <c r="G68" s="132"/>
      <c r="H68" s="134"/>
    </row>
  </sheetData>
  <mergeCells count="6">
    <mergeCell ref="A33:G33"/>
    <mergeCell ref="A1:G1"/>
    <mergeCell ref="A2:G2"/>
    <mergeCell ref="A3:G3"/>
    <mergeCell ref="A31:G31"/>
    <mergeCell ref="A32:G32"/>
  </mergeCells>
  <pageMargins left="0.70866141732283472" right="0.70866141732283472" top="0.35433070866141736" bottom="0" header="0.31496062992125984" footer="0.11811023622047245"/>
  <pageSetup paperSize="9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9"/>
  </sheetPr>
  <dimension ref="A1:I23"/>
  <sheetViews>
    <sheetView view="pageBreakPreview" zoomScaleSheetLayoutView="100" workbookViewId="0">
      <selection activeCell="E10" sqref="E10"/>
    </sheetView>
  </sheetViews>
  <sheetFormatPr defaultRowHeight="15"/>
  <cols>
    <col min="1" max="5" width="9" style="109"/>
    <col min="6" max="6" width="11" style="109" customWidth="1"/>
    <col min="7" max="7" width="16.875" style="109" customWidth="1"/>
    <col min="8" max="8" width="9" style="109" customWidth="1"/>
    <col min="9" max="16384" width="9" style="109"/>
  </cols>
  <sheetData>
    <row r="1" spans="1:9" ht="21">
      <c r="A1" s="300" t="s">
        <v>0</v>
      </c>
      <c r="B1" s="300"/>
      <c r="C1" s="300"/>
      <c r="D1" s="300"/>
      <c r="E1" s="300"/>
      <c r="F1" s="300"/>
      <c r="G1" s="300"/>
      <c r="H1" s="300"/>
      <c r="I1" s="300"/>
    </row>
    <row r="2" spans="1:9" ht="21">
      <c r="A2" s="300" t="s">
        <v>19</v>
      </c>
      <c r="B2" s="300"/>
      <c r="C2" s="300"/>
      <c r="D2" s="300"/>
      <c r="E2" s="300"/>
      <c r="F2" s="300"/>
      <c r="G2" s="300"/>
      <c r="H2" s="300"/>
      <c r="I2" s="300"/>
    </row>
    <row r="3" spans="1:9" ht="21">
      <c r="A3" s="296" t="s">
        <v>291</v>
      </c>
      <c r="B3" s="296"/>
      <c r="C3" s="296"/>
      <c r="D3" s="296"/>
      <c r="E3" s="296"/>
      <c r="F3" s="296"/>
      <c r="G3" s="296"/>
      <c r="H3" s="296"/>
      <c r="I3" s="296"/>
    </row>
    <row r="4" spans="1:9" ht="21">
      <c r="A4" s="71" t="s">
        <v>368</v>
      </c>
      <c r="B4" s="62"/>
      <c r="C4" s="62"/>
      <c r="D4" s="62"/>
      <c r="E4" s="62"/>
      <c r="F4" s="62"/>
      <c r="G4" s="62"/>
      <c r="H4" s="62"/>
      <c r="I4" s="62"/>
    </row>
    <row r="5" spans="1:9" ht="21">
      <c r="A5" s="62"/>
      <c r="B5" s="62"/>
      <c r="C5" s="62"/>
      <c r="D5" s="62"/>
      <c r="E5" s="62"/>
      <c r="F5" s="62"/>
      <c r="G5" s="62"/>
      <c r="H5" s="72"/>
      <c r="I5" s="73"/>
    </row>
    <row r="6" spans="1:9" ht="21">
      <c r="A6" s="72"/>
      <c r="B6" s="72" t="s">
        <v>100</v>
      </c>
      <c r="C6" s="72"/>
      <c r="D6" s="72"/>
      <c r="E6" s="72"/>
      <c r="F6" s="72"/>
      <c r="G6" s="33">
        <v>695476</v>
      </c>
      <c r="H6" s="72"/>
      <c r="I6" s="73"/>
    </row>
    <row r="7" spans="1:9" ht="21">
      <c r="A7" s="72"/>
      <c r="B7" s="72" t="s">
        <v>101</v>
      </c>
      <c r="C7" s="72"/>
      <c r="D7" s="72"/>
      <c r="E7" s="72"/>
      <c r="F7" s="72"/>
      <c r="G7" s="33">
        <v>32600.97</v>
      </c>
      <c r="H7" s="72"/>
      <c r="I7" s="73"/>
    </row>
    <row r="8" spans="1:9" ht="21">
      <c r="A8" s="72"/>
      <c r="B8" s="72" t="s">
        <v>102</v>
      </c>
      <c r="C8" s="72"/>
      <c r="D8" s="72"/>
      <c r="E8" s="72"/>
      <c r="F8" s="72"/>
      <c r="G8" s="33">
        <v>5675.7</v>
      </c>
      <c r="H8" s="72"/>
      <c r="I8" s="73"/>
    </row>
    <row r="9" spans="1:9" ht="21">
      <c r="A9" s="72"/>
      <c r="B9" s="72" t="s">
        <v>103</v>
      </c>
      <c r="C9" s="72"/>
      <c r="D9" s="72"/>
      <c r="E9" s="72"/>
      <c r="F9" s="72"/>
      <c r="G9" s="33">
        <v>12003.19</v>
      </c>
      <c r="H9" s="72"/>
      <c r="I9" s="73"/>
    </row>
    <row r="10" spans="1:9" ht="21">
      <c r="A10" s="72"/>
      <c r="B10" s="72" t="s">
        <v>104</v>
      </c>
      <c r="C10" s="72"/>
      <c r="D10" s="72"/>
      <c r="E10" s="72"/>
      <c r="F10" s="72"/>
      <c r="G10" s="33">
        <v>1204855.18</v>
      </c>
      <c r="H10" s="72"/>
      <c r="I10" s="73"/>
    </row>
    <row r="11" spans="1:9" ht="21">
      <c r="A11" s="72"/>
      <c r="B11" s="72" t="s">
        <v>105</v>
      </c>
      <c r="C11" s="72"/>
      <c r="D11" s="72"/>
      <c r="E11" s="72"/>
      <c r="F11" s="72"/>
      <c r="G11" s="33">
        <v>101958.74</v>
      </c>
      <c r="H11" s="72"/>
      <c r="I11" s="73"/>
    </row>
    <row r="12" spans="1:9" ht="21">
      <c r="A12" s="72"/>
      <c r="B12" s="72" t="s">
        <v>106</v>
      </c>
      <c r="C12" s="72"/>
      <c r="D12" s="72"/>
      <c r="E12" s="72"/>
      <c r="F12" s="72"/>
      <c r="G12" s="33">
        <v>195</v>
      </c>
      <c r="H12" s="72"/>
      <c r="I12" s="73"/>
    </row>
    <row r="13" spans="1:9" ht="21">
      <c r="A13" s="72"/>
      <c r="B13" s="72" t="s">
        <v>273</v>
      </c>
      <c r="C13" s="72"/>
      <c r="D13" s="72"/>
      <c r="E13" s="72"/>
      <c r="F13" s="72"/>
      <c r="G13" s="33">
        <v>1017870</v>
      </c>
      <c r="H13" s="72"/>
      <c r="I13" s="73"/>
    </row>
    <row r="14" spans="1:9" ht="21">
      <c r="A14" s="72"/>
      <c r="B14" s="72" t="s">
        <v>305</v>
      </c>
      <c r="C14" s="72"/>
      <c r="D14" s="72"/>
      <c r="E14" s="72"/>
      <c r="F14" s="72"/>
      <c r="G14" s="33">
        <v>44358</v>
      </c>
      <c r="H14" s="72"/>
      <c r="I14" s="73"/>
    </row>
    <row r="15" spans="1:9" ht="21.75" thickBot="1">
      <c r="A15" s="72"/>
      <c r="B15" s="72"/>
      <c r="C15" s="74" t="s">
        <v>45</v>
      </c>
      <c r="D15" s="72"/>
      <c r="E15" s="72"/>
      <c r="F15" s="72"/>
      <c r="G15" s="48">
        <f>SUM(G6:G14)</f>
        <v>3114992.78</v>
      </c>
      <c r="H15" s="72"/>
      <c r="I15" s="73"/>
    </row>
    <row r="16" spans="1:9" ht="15.75" thickTop="1"/>
    <row r="18" spans="1:8" ht="21">
      <c r="A18" s="80"/>
      <c r="B18" s="77"/>
      <c r="C18" s="77"/>
      <c r="D18" s="77"/>
      <c r="E18" s="77"/>
      <c r="F18" s="77"/>
      <c r="G18" s="77"/>
      <c r="H18" s="130"/>
    </row>
    <row r="19" spans="1:8" ht="21">
      <c r="A19" s="80"/>
      <c r="B19" s="77"/>
      <c r="C19" s="77"/>
      <c r="D19" s="77"/>
      <c r="E19" s="77"/>
      <c r="F19" s="77"/>
      <c r="G19" s="77"/>
      <c r="H19" s="78"/>
    </row>
    <row r="20" spans="1:8" ht="21">
      <c r="A20" s="80"/>
      <c r="B20" s="77"/>
      <c r="C20" s="77"/>
      <c r="D20" s="77"/>
      <c r="E20" s="77"/>
      <c r="F20" s="77"/>
      <c r="G20" s="77"/>
      <c r="H20" s="78"/>
    </row>
    <row r="21" spans="1:8" ht="21">
      <c r="A21" s="80"/>
      <c r="B21" s="77"/>
      <c r="C21" s="77"/>
      <c r="D21" s="77"/>
      <c r="E21" s="77"/>
      <c r="F21" s="77"/>
      <c r="G21" s="77"/>
      <c r="H21" s="78"/>
    </row>
    <row r="22" spans="1:8" ht="21">
      <c r="A22" s="80"/>
      <c r="B22" s="77"/>
      <c r="C22" s="77"/>
      <c r="D22" s="77"/>
      <c r="E22" s="77"/>
      <c r="F22" s="77"/>
      <c r="G22" s="77"/>
      <c r="H22" s="78"/>
    </row>
    <row r="23" spans="1:8" ht="21">
      <c r="A23" s="80"/>
      <c r="B23" s="77"/>
      <c r="C23" s="77"/>
      <c r="D23" s="77"/>
      <c r="E23" s="77"/>
      <c r="F23" s="77"/>
      <c r="G23" s="77"/>
      <c r="H23" s="78"/>
    </row>
  </sheetData>
  <mergeCells count="3">
    <mergeCell ref="A3:I3"/>
    <mergeCell ref="A2:I2"/>
    <mergeCell ref="A1:I1"/>
  </mergeCells>
  <pageMargins left="0.31496062992125984" right="0.11811023622047245" top="0.74803149606299213" bottom="0.35433070866141736" header="0.11811023622047245" footer="0.11811023622047245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9"/>
  </sheetPr>
  <dimension ref="A1:J42"/>
  <sheetViews>
    <sheetView view="pageBreakPreview" topLeftCell="A22" zoomScaleSheetLayoutView="100" workbookViewId="0">
      <selection activeCell="J28" sqref="J28"/>
    </sheetView>
  </sheetViews>
  <sheetFormatPr defaultRowHeight="14.25"/>
  <cols>
    <col min="3" max="3" width="16.125" customWidth="1"/>
    <col min="4" max="4" width="21.375" customWidth="1"/>
    <col min="5" max="5" width="6.625" customWidth="1"/>
    <col min="6" max="6" width="12" customWidth="1"/>
    <col min="7" max="7" width="2" customWidth="1"/>
    <col min="8" max="8" width="13.75" customWidth="1"/>
    <col min="10" max="10" width="14.5" customWidth="1"/>
  </cols>
  <sheetData>
    <row r="1" spans="1:9" ht="21">
      <c r="A1" s="300" t="s">
        <v>0</v>
      </c>
      <c r="B1" s="300"/>
      <c r="C1" s="300"/>
      <c r="D1" s="300"/>
      <c r="E1" s="300"/>
      <c r="F1" s="300"/>
      <c r="G1" s="300"/>
      <c r="H1" s="300"/>
    </row>
    <row r="2" spans="1:9" ht="21">
      <c r="A2" s="300" t="s">
        <v>19</v>
      </c>
      <c r="B2" s="300"/>
      <c r="C2" s="300"/>
      <c r="D2" s="300"/>
      <c r="E2" s="300"/>
      <c r="F2" s="300"/>
      <c r="G2" s="300"/>
      <c r="H2" s="300"/>
    </row>
    <row r="3" spans="1:9" ht="21">
      <c r="A3" s="296" t="s">
        <v>291</v>
      </c>
      <c r="B3" s="296"/>
      <c r="C3" s="296"/>
      <c r="D3" s="296"/>
      <c r="E3" s="296"/>
      <c r="F3" s="296"/>
      <c r="G3" s="296"/>
      <c r="H3" s="296"/>
    </row>
    <row r="4" spans="1:9" ht="21">
      <c r="A4" s="75" t="s">
        <v>370</v>
      </c>
      <c r="B4" s="76"/>
      <c r="C4" s="76"/>
      <c r="D4" s="77"/>
      <c r="E4" s="77"/>
      <c r="F4" s="77"/>
      <c r="G4" s="77"/>
      <c r="H4" s="78"/>
    </row>
    <row r="5" spans="1:9" ht="21">
      <c r="A5" s="75" t="s">
        <v>306</v>
      </c>
      <c r="B5" s="77"/>
      <c r="C5" s="77"/>
      <c r="D5" s="77"/>
      <c r="E5" s="77"/>
      <c r="F5" s="77"/>
      <c r="G5" s="77"/>
      <c r="H5" s="166">
        <v>7424505.46</v>
      </c>
    </row>
    <row r="6" spans="1:9" ht="18.75">
      <c r="A6" s="132" t="s">
        <v>107</v>
      </c>
      <c r="B6" s="132"/>
      <c r="C6" s="132"/>
      <c r="D6" s="212">
        <v>2351530.6</v>
      </c>
      <c r="E6" s="132"/>
      <c r="F6" s="213"/>
      <c r="G6" s="132"/>
      <c r="H6" s="134"/>
    </row>
    <row r="7" spans="1:9" ht="18.75">
      <c r="A7" s="214" t="s">
        <v>278</v>
      </c>
      <c r="B7" s="215"/>
      <c r="C7" s="215"/>
      <c r="D7" s="216">
        <f>D6*25/100</f>
        <v>587882.65</v>
      </c>
      <c r="E7" s="132"/>
      <c r="F7" s="215"/>
      <c r="G7" s="132"/>
      <c r="H7" s="134"/>
    </row>
    <row r="8" spans="1:9" ht="18.75">
      <c r="A8" s="217" t="s">
        <v>108</v>
      </c>
      <c r="B8" s="215" t="s">
        <v>109</v>
      </c>
      <c r="C8" s="211"/>
      <c r="D8" s="211"/>
      <c r="E8" s="132"/>
      <c r="F8" s="213">
        <f>D6-D7</f>
        <v>1763647.9500000002</v>
      </c>
      <c r="G8" s="132"/>
      <c r="H8" s="134"/>
    </row>
    <row r="9" spans="1:9" ht="18.75">
      <c r="A9" s="131"/>
      <c r="B9" s="211" t="s">
        <v>280</v>
      </c>
      <c r="C9" s="211"/>
      <c r="D9" s="211"/>
      <c r="E9" s="132"/>
      <c r="F9" s="134">
        <v>7.52</v>
      </c>
      <c r="G9" s="132"/>
      <c r="H9" s="134"/>
    </row>
    <row r="10" spans="1:9" ht="18.75">
      <c r="A10" s="131"/>
      <c r="B10" s="211" t="s">
        <v>279</v>
      </c>
      <c r="C10" s="211"/>
      <c r="D10" s="211"/>
      <c r="E10" s="132"/>
      <c r="F10" s="134"/>
      <c r="G10" s="132"/>
      <c r="H10" s="134"/>
      <c r="I10">
        <v>15.04</v>
      </c>
    </row>
    <row r="11" spans="1:9" ht="18.75">
      <c r="A11" s="131"/>
      <c r="B11" s="237" t="s">
        <v>309</v>
      </c>
      <c r="C11" s="211"/>
      <c r="D11" s="211"/>
      <c r="E11" s="132"/>
      <c r="F11" s="134">
        <v>62.04</v>
      </c>
      <c r="G11" s="132"/>
      <c r="H11" s="134"/>
      <c r="I11">
        <v>47</v>
      </c>
    </row>
    <row r="12" spans="1:9" ht="18.75">
      <c r="A12" s="131"/>
      <c r="B12" s="232" t="s">
        <v>310</v>
      </c>
      <c r="C12" s="211"/>
      <c r="D12" s="211"/>
      <c r="E12" s="132"/>
      <c r="F12" s="134">
        <v>16825</v>
      </c>
      <c r="G12" s="132"/>
      <c r="H12" s="134"/>
      <c r="I12">
        <f>SUM(I10:I11)</f>
        <v>62.04</v>
      </c>
    </row>
    <row r="13" spans="1:9" ht="18.75">
      <c r="A13" s="131"/>
      <c r="B13" s="232" t="s">
        <v>311</v>
      </c>
      <c r="C13" s="211"/>
      <c r="D13" s="211"/>
      <c r="E13" s="132"/>
      <c r="F13" s="134">
        <v>19100</v>
      </c>
      <c r="G13" s="132"/>
      <c r="H13" s="134"/>
    </row>
    <row r="14" spans="1:9" ht="18.75">
      <c r="A14" s="131"/>
      <c r="B14" s="232" t="s">
        <v>312</v>
      </c>
      <c r="C14" s="211"/>
      <c r="D14" s="211"/>
      <c r="E14" s="132"/>
      <c r="F14" s="134">
        <v>3401.84</v>
      </c>
      <c r="G14" s="132"/>
      <c r="H14" s="134"/>
    </row>
    <row r="15" spans="1:9" ht="18.75">
      <c r="A15" s="131"/>
      <c r="B15" s="211"/>
      <c r="C15" s="211"/>
      <c r="D15" s="211"/>
      <c r="E15" s="132"/>
      <c r="F15" s="134"/>
      <c r="G15" s="132"/>
      <c r="H15" s="134"/>
    </row>
    <row r="16" spans="1:9" ht="18.75">
      <c r="A16" s="131"/>
      <c r="B16" s="211"/>
      <c r="C16" s="211"/>
      <c r="D16" s="211"/>
      <c r="E16" s="132"/>
      <c r="F16" s="134"/>
      <c r="G16" s="132"/>
      <c r="H16" s="134"/>
    </row>
    <row r="17" spans="1:10" ht="18.75">
      <c r="A17" s="131"/>
      <c r="B17" s="211"/>
      <c r="C17" s="211"/>
      <c r="D17" s="211"/>
      <c r="E17" s="132"/>
      <c r="F17" s="134"/>
      <c r="G17" s="132"/>
      <c r="H17" s="134"/>
    </row>
    <row r="18" spans="1:10" ht="18.75">
      <c r="A18" s="131"/>
      <c r="B18" s="308"/>
      <c r="C18" s="308"/>
      <c r="D18" s="308"/>
      <c r="E18" s="132"/>
      <c r="F18" s="216"/>
      <c r="G18" s="132"/>
      <c r="H18" s="216">
        <f>F8+F9+F11+F12+F13+F14</f>
        <v>1803044.3500000003</v>
      </c>
    </row>
    <row r="19" spans="1:10" ht="21">
      <c r="A19" s="80"/>
      <c r="B19" s="309"/>
      <c r="C19" s="309"/>
      <c r="D19" s="309"/>
      <c r="E19" s="77"/>
      <c r="F19" s="79"/>
      <c r="G19" s="77"/>
      <c r="H19" s="81">
        <f>H5+H18</f>
        <v>9227549.8100000005</v>
      </c>
    </row>
    <row r="20" spans="1:10" s="105" customFormat="1" ht="18.75">
      <c r="A20" s="218" t="s">
        <v>110</v>
      </c>
      <c r="B20" s="132" t="s">
        <v>111</v>
      </c>
      <c r="C20" s="132"/>
      <c r="D20" s="132"/>
      <c r="E20" s="132"/>
      <c r="F20" s="134"/>
      <c r="G20" s="132"/>
      <c r="H20" s="134">
        <v>0</v>
      </c>
    </row>
    <row r="21" spans="1:10" s="105" customFormat="1" ht="18.75">
      <c r="A21" s="218"/>
      <c r="B21" s="132" t="s">
        <v>313</v>
      </c>
      <c r="C21" s="132"/>
      <c r="D21" s="132"/>
      <c r="E21" s="132"/>
      <c r="F21" s="134"/>
      <c r="G21" s="132"/>
      <c r="H21" s="134">
        <v>32.9</v>
      </c>
      <c r="J21" s="221">
        <f>H21+H22+H23</f>
        <v>150.4</v>
      </c>
    </row>
    <row r="22" spans="1:10" s="105" customFormat="1" ht="18.75">
      <c r="A22" s="218"/>
      <c r="B22" s="132" t="s">
        <v>314</v>
      </c>
      <c r="C22" s="132"/>
      <c r="D22" s="132"/>
      <c r="E22" s="132"/>
      <c r="F22" s="134"/>
      <c r="G22" s="132"/>
      <c r="H22" s="134">
        <v>95.88</v>
      </c>
      <c r="J22" s="105">
        <v>12.22</v>
      </c>
    </row>
    <row r="23" spans="1:10" s="105" customFormat="1" ht="18.75">
      <c r="A23" s="218"/>
      <c r="B23" s="132" t="s">
        <v>315</v>
      </c>
      <c r="C23" s="132"/>
      <c r="D23" s="132"/>
      <c r="E23" s="132"/>
      <c r="F23" s="134"/>
      <c r="G23" s="132"/>
      <c r="H23" s="134">
        <v>21.62</v>
      </c>
      <c r="J23" s="105">
        <v>9.4</v>
      </c>
    </row>
    <row r="24" spans="1:10" s="105" customFormat="1" ht="18.75">
      <c r="A24" s="218"/>
      <c r="B24" s="132"/>
      <c r="C24" s="132"/>
      <c r="D24" s="132"/>
      <c r="E24" s="132"/>
      <c r="F24" s="134"/>
      <c r="G24" s="132"/>
      <c r="H24" s="134"/>
      <c r="J24" s="105">
        <f>SUM(J22:J23)</f>
        <v>21.62</v>
      </c>
    </row>
    <row r="25" spans="1:10" ht="21.75" thickBot="1">
      <c r="A25" s="75" t="s">
        <v>307</v>
      </c>
      <c r="B25" s="77"/>
      <c r="C25" s="77"/>
      <c r="D25" s="77"/>
      <c r="E25" s="77"/>
      <c r="F25" s="79"/>
      <c r="G25" s="77"/>
      <c r="H25" s="82">
        <f>H19-H20-H21-H22-H23-H24</f>
        <v>9227399.4100000001</v>
      </c>
      <c r="J25">
        <v>9227408.7200000007</v>
      </c>
    </row>
    <row r="26" spans="1:10" s="105" customFormat="1" ht="19.5" thickTop="1">
      <c r="A26" s="232" t="s">
        <v>308</v>
      </c>
      <c r="B26" s="132"/>
      <c r="C26" s="132"/>
      <c r="D26" s="132"/>
      <c r="E26" s="132"/>
      <c r="F26" s="132"/>
      <c r="G26" s="132"/>
      <c r="H26" s="134"/>
      <c r="J26" s="105">
        <v>-9227399.4100000001</v>
      </c>
    </row>
    <row r="27" spans="1:10" s="105" customFormat="1" ht="18.75">
      <c r="A27" s="131"/>
      <c r="B27" s="219">
        <v>1</v>
      </c>
      <c r="C27" s="220" t="s">
        <v>276</v>
      </c>
      <c r="D27" s="132"/>
      <c r="E27" s="132"/>
      <c r="F27" s="132"/>
      <c r="G27" s="132"/>
      <c r="H27" s="134">
        <v>14786.18</v>
      </c>
    </row>
    <row r="28" spans="1:10" s="105" customFormat="1" ht="18.75">
      <c r="A28" s="131"/>
      <c r="B28" s="219">
        <v>2</v>
      </c>
      <c r="C28" s="220" t="s">
        <v>214</v>
      </c>
      <c r="D28" s="132"/>
      <c r="E28" s="132"/>
      <c r="F28" s="132"/>
      <c r="G28" s="132"/>
      <c r="H28" s="134">
        <v>89600</v>
      </c>
      <c r="J28" s="221">
        <f>SUM(J25:J27)</f>
        <v>9.3100000005215406</v>
      </c>
    </row>
    <row r="29" spans="1:10" s="105" customFormat="1" ht="18.75">
      <c r="A29" s="131"/>
      <c r="B29" s="219"/>
      <c r="C29" s="220"/>
      <c r="D29" s="132"/>
      <c r="E29" s="132"/>
      <c r="F29" s="132"/>
      <c r="G29" s="132"/>
      <c r="H29" s="134"/>
      <c r="J29" s="221"/>
    </row>
    <row r="30" spans="1:10" s="105" customFormat="1" ht="18.75">
      <c r="A30" s="131"/>
      <c r="B30" s="219"/>
      <c r="C30" s="220"/>
      <c r="D30" s="132"/>
      <c r="E30" s="132"/>
      <c r="F30" s="132"/>
      <c r="G30" s="132"/>
      <c r="H30" s="134"/>
      <c r="J30" s="221"/>
    </row>
    <row r="31" spans="1:10" s="105" customFormat="1" ht="18.75">
      <c r="A31" s="131"/>
      <c r="B31" s="219"/>
      <c r="C31" s="132" t="s">
        <v>112</v>
      </c>
      <c r="D31" s="132"/>
      <c r="E31" s="132"/>
      <c r="F31" s="132"/>
      <c r="G31" s="132"/>
      <c r="H31" s="134">
        <f>H25-H27-H28-H29-H30</f>
        <v>9123013.2300000004</v>
      </c>
    </row>
    <row r="32" spans="1:10" ht="21.75" thickBot="1">
      <c r="A32" s="80"/>
      <c r="B32" s="77"/>
      <c r="C32" s="77"/>
      <c r="D32" s="77"/>
      <c r="E32" s="77"/>
      <c r="F32" s="77"/>
      <c r="G32" s="77"/>
      <c r="H32" s="82">
        <f>SUM(H27:H31)</f>
        <v>9227399.4100000001</v>
      </c>
    </row>
    <row r="33" spans="1:8" ht="15" thickTop="1"/>
    <row r="34" spans="1:8" ht="21">
      <c r="A34" s="80"/>
      <c r="B34" s="77" t="s">
        <v>395</v>
      </c>
      <c r="C34" s="77"/>
      <c r="D34" s="77"/>
      <c r="E34" s="77"/>
      <c r="F34" s="77"/>
      <c r="G34" s="77"/>
      <c r="H34" s="78"/>
    </row>
    <row r="35" spans="1:8" ht="21">
      <c r="A35" s="80"/>
      <c r="B35" s="77" t="s">
        <v>369</v>
      </c>
      <c r="C35" s="77"/>
      <c r="D35" s="77"/>
      <c r="E35" s="77"/>
      <c r="F35" s="77"/>
      <c r="G35" s="77"/>
      <c r="H35" s="78"/>
    </row>
    <row r="36" spans="1:8" ht="21">
      <c r="A36" s="80"/>
      <c r="B36" s="77"/>
      <c r="C36" s="77"/>
      <c r="D36" s="77"/>
      <c r="E36" s="77"/>
      <c r="F36" s="77"/>
      <c r="G36" s="77"/>
      <c r="H36" s="78"/>
    </row>
    <row r="37" spans="1:8" ht="21">
      <c r="A37" s="80"/>
      <c r="B37" s="77"/>
      <c r="C37" s="77"/>
      <c r="D37" s="77"/>
      <c r="E37" s="77"/>
      <c r="F37" s="77"/>
      <c r="G37" s="77"/>
      <c r="H37" s="78"/>
    </row>
    <row r="38" spans="1:8" ht="21">
      <c r="A38" s="80"/>
      <c r="B38" s="77"/>
      <c r="C38" s="77"/>
      <c r="D38" s="77"/>
      <c r="E38" s="77"/>
      <c r="F38" s="77"/>
      <c r="G38" s="77"/>
      <c r="H38" s="78"/>
    </row>
    <row r="42" spans="1:8">
      <c r="D42">
        <v>1</v>
      </c>
    </row>
  </sheetData>
  <mergeCells count="5">
    <mergeCell ref="A1:H1"/>
    <mergeCell ref="A2:H2"/>
    <mergeCell ref="A3:H3"/>
    <mergeCell ref="B18:D18"/>
    <mergeCell ref="B19:D19"/>
  </mergeCells>
  <pageMargins left="0.51181102362204722" right="0" top="0.74803149606299213" bottom="0.74803149606299213" header="0" footer="0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9"/>
  </sheetPr>
  <dimension ref="A1:J27"/>
  <sheetViews>
    <sheetView tabSelected="1" view="pageBreakPreview" topLeftCell="A7" zoomScaleSheetLayoutView="100" workbookViewId="0">
      <selection activeCell="C16" sqref="C16"/>
    </sheetView>
  </sheetViews>
  <sheetFormatPr defaultRowHeight="14.25"/>
  <cols>
    <col min="2" max="2" width="20.875" customWidth="1"/>
    <col min="3" max="3" width="40.25" customWidth="1"/>
    <col min="4" max="4" width="12.125" customWidth="1"/>
    <col min="5" max="5" width="12.25" customWidth="1"/>
    <col min="6" max="6" width="12.5" customWidth="1"/>
    <col min="7" max="7" width="12.625" customWidth="1"/>
    <col min="8" max="8" width="12.375" customWidth="1"/>
    <col min="9" max="9" width="9.375" bestFit="1" customWidth="1"/>
  </cols>
  <sheetData>
    <row r="1" spans="1:10" s="105" customFormat="1" ht="18.75">
      <c r="A1" s="307" t="s">
        <v>0</v>
      </c>
      <c r="B1" s="307"/>
      <c r="C1" s="307"/>
      <c r="D1" s="307"/>
      <c r="E1" s="307"/>
      <c r="F1" s="307"/>
      <c r="G1" s="307"/>
      <c r="H1" s="307"/>
    </row>
    <row r="2" spans="1:10" s="105" customFormat="1" ht="18.75">
      <c r="A2" s="307" t="s">
        <v>19</v>
      </c>
      <c r="B2" s="307"/>
      <c r="C2" s="307"/>
      <c r="D2" s="307"/>
      <c r="E2" s="307"/>
      <c r="F2" s="307"/>
      <c r="G2" s="307"/>
      <c r="H2" s="307"/>
    </row>
    <row r="3" spans="1:10" s="105" customFormat="1" ht="18.75">
      <c r="A3" s="306" t="s">
        <v>371</v>
      </c>
      <c r="B3" s="306"/>
      <c r="C3" s="306"/>
      <c r="D3" s="306"/>
      <c r="E3" s="306"/>
      <c r="F3" s="306"/>
      <c r="G3" s="306"/>
      <c r="H3" s="306"/>
    </row>
    <row r="4" spans="1:10" s="105" customFormat="1" ht="18.75">
      <c r="A4" s="135" t="s">
        <v>426</v>
      </c>
      <c r="B4" s="135"/>
      <c r="C4" s="136"/>
      <c r="D4" s="137"/>
      <c r="E4" s="137"/>
      <c r="F4" s="137"/>
      <c r="G4" s="137"/>
      <c r="H4" s="107"/>
    </row>
    <row r="5" spans="1:10" ht="21">
      <c r="A5" s="83" t="s">
        <v>72</v>
      </c>
      <c r="B5" s="83" t="s">
        <v>73</v>
      </c>
      <c r="C5" s="83" t="s">
        <v>74</v>
      </c>
      <c r="D5" s="84" t="s">
        <v>24</v>
      </c>
      <c r="E5" s="84" t="s">
        <v>113</v>
      </c>
      <c r="F5" s="84" t="s">
        <v>114</v>
      </c>
      <c r="G5" s="84" t="s">
        <v>115</v>
      </c>
      <c r="H5" s="84" t="s">
        <v>116</v>
      </c>
    </row>
    <row r="6" spans="1:10" ht="21">
      <c r="A6" s="85"/>
      <c r="B6" s="85"/>
      <c r="C6" s="85"/>
      <c r="D6" s="86" t="s">
        <v>117</v>
      </c>
      <c r="E6" s="86"/>
      <c r="F6" s="86"/>
      <c r="G6" s="86"/>
      <c r="H6" s="86"/>
    </row>
    <row r="7" spans="1:10" ht="21">
      <c r="A7" s="64"/>
      <c r="B7" s="64"/>
      <c r="C7" s="64"/>
      <c r="D7" s="65"/>
      <c r="E7" s="65"/>
      <c r="F7" s="65"/>
      <c r="G7" s="65"/>
      <c r="H7" s="65"/>
    </row>
    <row r="8" spans="1:10" ht="21">
      <c r="A8" s="66" t="s">
        <v>118</v>
      </c>
      <c r="B8" s="67" t="s">
        <v>119</v>
      </c>
      <c r="C8" s="67" t="s">
        <v>320</v>
      </c>
      <c r="D8" s="68">
        <v>620600</v>
      </c>
      <c r="E8" s="68"/>
      <c r="F8" s="68"/>
      <c r="G8" s="68"/>
      <c r="H8" s="68">
        <v>620600</v>
      </c>
    </row>
    <row r="9" spans="1:10" ht="21">
      <c r="A9" s="66" t="s">
        <v>316</v>
      </c>
      <c r="B9" s="67"/>
      <c r="C9" s="67" t="s">
        <v>321</v>
      </c>
      <c r="D9" s="68"/>
      <c r="E9" s="68"/>
      <c r="F9" s="68"/>
      <c r="G9" s="68"/>
      <c r="H9" s="68"/>
    </row>
    <row r="10" spans="1:10" ht="21">
      <c r="A10" s="66" t="s">
        <v>78</v>
      </c>
      <c r="B10" s="66" t="s">
        <v>78</v>
      </c>
      <c r="C10" s="67" t="s">
        <v>317</v>
      </c>
      <c r="D10" s="68">
        <v>458600</v>
      </c>
      <c r="E10" s="68"/>
      <c r="F10" s="68"/>
      <c r="G10" s="68"/>
      <c r="H10" s="68">
        <v>458600</v>
      </c>
      <c r="J10">
        <v>1</v>
      </c>
    </row>
    <row r="11" spans="1:10" ht="21">
      <c r="A11" s="66" t="s">
        <v>78</v>
      </c>
      <c r="B11" s="66" t="s">
        <v>78</v>
      </c>
      <c r="C11" s="67" t="s">
        <v>318</v>
      </c>
      <c r="D11" s="68">
        <v>573300</v>
      </c>
      <c r="E11" s="68"/>
      <c r="F11" s="68"/>
      <c r="G11" s="68"/>
      <c r="H11" s="68">
        <v>573300</v>
      </c>
    </row>
    <row r="12" spans="1:10" ht="21">
      <c r="A12" s="66" t="s">
        <v>78</v>
      </c>
      <c r="B12" s="66" t="s">
        <v>78</v>
      </c>
      <c r="C12" s="67" t="s">
        <v>319</v>
      </c>
      <c r="D12" s="68"/>
      <c r="E12" s="68"/>
      <c r="F12" s="68"/>
      <c r="G12" s="68"/>
      <c r="H12" s="68"/>
    </row>
    <row r="13" spans="1:10" ht="21">
      <c r="A13" s="66" t="s">
        <v>78</v>
      </c>
      <c r="B13" s="66" t="s">
        <v>78</v>
      </c>
      <c r="C13" s="67" t="s">
        <v>322</v>
      </c>
      <c r="D13" s="68">
        <v>434100</v>
      </c>
      <c r="E13" s="68"/>
      <c r="F13" s="68"/>
      <c r="G13" s="68"/>
      <c r="H13" s="68">
        <v>434100</v>
      </c>
    </row>
    <row r="14" spans="1:10" ht="21">
      <c r="A14" s="66" t="s">
        <v>78</v>
      </c>
      <c r="B14" s="66" t="s">
        <v>78</v>
      </c>
      <c r="C14" s="67" t="s">
        <v>323</v>
      </c>
      <c r="D14" s="68">
        <v>534100</v>
      </c>
      <c r="E14" s="68"/>
      <c r="F14" s="68"/>
      <c r="G14" s="68"/>
      <c r="H14" s="68">
        <v>534100</v>
      </c>
    </row>
    <row r="15" spans="1:10" ht="21">
      <c r="A15" s="66" t="s">
        <v>78</v>
      </c>
      <c r="B15" s="66" t="s">
        <v>78</v>
      </c>
      <c r="C15" s="67" t="s">
        <v>324</v>
      </c>
      <c r="D15" s="68">
        <v>691900</v>
      </c>
      <c r="E15" s="68"/>
      <c r="F15" s="68"/>
      <c r="G15" s="68"/>
      <c r="H15" s="68">
        <v>691900</v>
      </c>
    </row>
    <row r="16" spans="1:10" ht="21">
      <c r="A16" s="66" t="s">
        <v>78</v>
      </c>
      <c r="B16" s="66" t="s">
        <v>78</v>
      </c>
      <c r="C16" s="67" t="s">
        <v>325</v>
      </c>
      <c r="D16" s="68">
        <v>480000</v>
      </c>
      <c r="E16" s="68"/>
      <c r="F16" s="68"/>
      <c r="G16" s="68"/>
      <c r="H16" s="68">
        <v>480000</v>
      </c>
    </row>
    <row r="17" spans="1:9" ht="21">
      <c r="A17" s="66" t="s">
        <v>78</v>
      </c>
      <c r="B17" s="66" t="s">
        <v>78</v>
      </c>
      <c r="C17" s="67"/>
      <c r="D17" s="68"/>
      <c r="E17" s="68"/>
      <c r="F17" s="68"/>
      <c r="G17" s="68"/>
      <c r="H17" s="68"/>
    </row>
    <row r="18" spans="1:9" ht="21">
      <c r="A18" s="66" t="s">
        <v>78</v>
      </c>
      <c r="B18" s="66" t="s">
        <v>78</v>
      </c>
      <c r="C18" s="67"/>
      <c r="D18" s="68"/>
      <c r="E18" s="68"/>
      <c r="F18" s="68"/>
      <c r="G18" s="68"/>
      <c r="H18" s="68"/>
    </row>
    <row r="19" spans="1:9" ht="21.75" thickBot="1">
      <c r="A19" s="70"/>
      <c r="B19" s="70"/>
      <c r="C19" s="87" t="s">
        <v>45</v>
      </c>
      <c r="D19" s="88">
        <f>SUM(D8:D18)</f>
        <v>3792600</v>
      </c>
      <c r="E19" s="88">
        <f>SUM(E8:E18)</f>
        <v>0</v>
      </c>
      <c r="F19" s="88">
        <f>SUM(F8:F18)</f>
        <v>0</v>
      </c>
      <c r="G19" s="88">
        <f>SUM(G8:G18)</f>
        <v>0</v>
      </c>
      <c r="H19" s="88">
        <f>SUM(H8:H18)</f>
        <v>3792600</v>
      </c>
      <c r="I19" s="139"/>
    </row>
    <row r="20" spans="1:9" ht="15" thickTop="1"/>
    <row r="22" spans="1:9" ht="21">
      <c r="B22" s="80"/>
      <c r="C22" s="77"/>
      <c r="D22" s="77"/>
      <c r="E22" s="77"/>
      <c r="F22" s="77"/>
      <c r="G22" s="77"/>
      <c r="H22" s="77"/>
      <c r="I22" s="130"/>
    </row>
    <row r="23" spans="1:9" ht="21">
      <c r="B23" s="80"/>
      <c r="C23" s="77"/>
      <c r="D23" s="77"/>
      <c r="E23" s="77"/>
      <c r="F23" s="77"/>
      <c r="G23" s="77"/>
      <c r="H23" s="77"/>
      <c r="I23" s="78"/>
    </row>
    <row r="24" spans="1:9" ht="21">
      <c r="B24" s="80"/>
      <c r="C24" s="77"/>
      <c r="D24" s="77"/>
      <c r="E24" s="77"/>
      <c r="F24" s="77"/>
      <c r="G24" s="77"/>
      <c r="H24" s="77"/>
      <c r="I24" s="78"/>
    </row>
    <row r="25" spans="1:9" ht="21">
      <c r="B25" s="80"/>
      <c r="C25" s="77"/>
      <c r="D25" s="77"/>
      <c r="E25" s="77"/>
      <c r="F25" s="77"/>
      <c r="G25" s="77"/>
      <c r="H25" s="77"/>
      <c r="I25" s="78"/>
    </row>
    <row r="26" spans="1:9" ht="21">
      <c r="B26" s="80"/>
      <c r="C26" s="77"/>
      <c r="D26" s="77"/>
      <c r="E26" s="77"/>
      <c r="F26" s="77"/>
      <c r="G26" s="77"/>
      <c r="H26" s="77"/>
      <c r="I26" s="78"/>
    </row>
    <row r="27" spans="1:9" ht="21">
      <c r="B27" s="80"/>
      <c r="C27" s="77"/>
      <c r="D27" s="77"/>
      <c r="E27" s="77"/>
      <c r="F27" s="77"/>
      <c r="G27" s="77"/>
      <c r="H27" s="77"/>
      <c r="I27" s="78"/>
    </row>
  </sheetData>
  <mergeCells count="3">
    <mergeCell ref="A1:H1"/>
    <mergeCell ref="A2:H2"/>
    <mergeCell ref="A3:H3"/>
  </mergeCells>
  <pageMargins left="0.31496062992125984" right="0.19685039370078741" top="0.55118110236220474" bottom="0.15748031496062992" header="0" footer="0"/>
  <pageSetup paperSize="9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9"/>
  </sheetPr>
  <dimension ref="A1:I25"/>
  <sheetViews>
    <sheetView view="pageBreakPreview" zoomScaleSheetLayoutView="100" workbookViewId="0">
      <selection activeCell="B11" sqref="B11"/>
    </sheetView>
  </sheetViews>
  <sheetFormatPr defaultColWidth="17.875" defaultRowHeight="14.25"/>
  <cols>
    <col min="1" max="1" width="9.5" customWidth="1"/>
    <col min="2" max="2" width="11.875" customWidth="1"/>
    <col min="3" max="3" width="13" customWidth="1"/>
    <col min="5" max="5" width="15.25" customWidth="1"/>
    <col min="6" max="6" width="15.875" customWidth="1"/>
  </cols>
  <sheetData>
    <row r="1" spans="1:8" ht="21">
      <c r="A1" s="310" t="s">
        <v>0</v>
      </c>
      <c r="B1" s="310"/>
      <c r="C1" s="310"/>
      <c r="D1" s="310"/>
      <c r="E1" s="310"/>
      <c r="F1" s="310"/>
      <c r="G1" s="310"/>
      <c r="H1" s="310"/>
    </row>
    <row r="2" spans="1:8" ht="21">
      <c r="A2" s="310" t="s">
        <v>19</v>
      </c>
      <c r="B2" s="310"/>
      <c r="C2" s="310"/>
      <c r="D2" s="310"/>
      <c r="E2" s="310"/>
      <c r="F2" s="310"/>
      <c r="G2" s="310"/>
      <c r="H2" s="310"/>
    </row>
    <row r="3" spans="1:8" ht="21">
      <c r="A3" s="311" t="s">
        <v>291</v>
      </c>
      <c r="B3" s="311"/>
      <c r="C3" s="311"/>
      <c r="D3" s="311"/>
      <c r="E3" s="311"/>
      <c r="F3" s="311"/>
      <c r="G3" s="311"/>
      <c r="H3" s="311"/>
    </row>
    <row r="4" spans="1:8" ht="21">
      <c r="A4" s="2"/>
      <c r="B4" s="2"/>
      <c r="C4" s="2"/>
      <c r="D4" s="2"/>
      <c r="E4" s="2"/>
      <c r="F4" s="2"/>
      <c r="G4" s="2"/>
      <c r="H4" s="2"/>
    </row>
    <row r="5" spans="1:8" ht="21">
      <c r="A5" s="3" t="s">
        <v>372</v>
      </c>
      <c r="B5" s="90"/>
      <c r="C5" s="3"/>
      <c r="D5" s="2"/>
      <c r="E5" s="2"/>
      <c r="F5" s="2"/>
      <c r="G5" s="2"/>
      <c r="H5" s="2"/>
    </row>
    <row r="6" spans="1:8" ht="21">
      <c r="A6" s="2"/>
      <c r="B6" s="2"/>
      <c r="C6" s="2"/>
      <c r="D6" s="2"/>
      <c r="E6" s="2"/>
      <c r="F6" s="2"/>
      <c r="G6" s="2"/>
      <c r="H6" s="2"/>
    </row>
    <row r="7" spans="1:8" ht="21">
      <c r="A7" s="63" t="s">
        <v>72</v>
      </c>
      <c r="B7" s="63" t="s">
        <v>73</v>
      </c>
      <c r="C7" s="63" t="s">
        <v>74</v>
      </c>
      <c r="D7" s="63" t="s">
        <v>120</v>
      </c>
      <c r="E7" s="63" t="s">
        <v>113</v>
      </c>
      <c r="F7" s="63" t="s">
        <v>114</v>
      </c>
      <c r="G7" s="63" t="s">
        <v>115</v>
      </c>
      <c r="H7" s="63" t="s">
        <v>116</v>
      </c>
    </row>
    <row r="8" spans="1:8" ht="21">
      <c r="A8" s="65"/>
      <c r="B8" s="65"/>
      <c r="C8" s="65"/>
      <c r="D8" s="65"/>
      <c r="E8" s="65"/>
      <c r="F8" s="65"/>
      <c r="G8" s="65"/>
      <c r="H8" s="65"/>
    </row>
    <row r="9" spans="1:8" ht="21">
      <c r="A9" s="68">
        <v>0</v>
      </c>
      <c r="B9" s="68">
        <v>0</v>
      </c>
      <c r="C9" s="89">
        <v>0</v>
      </c>
      <c r="D9" s="68">
        <v>0</v>
      </c>
      <c r="E9" s="68">
        <v>0</v>
      </c>
      <c r="F9" s="68">
        <v>0</v>
      </c>
      <c r="G9" s="68">
        <v>9075720.4399999995</v>
      </c>
      <c r="H9" s="68"/>
    </row>
    <row r="10" spans="1:8" ht="21">
      <c r="A10" s="68"/>
      <c r="B10" s="68"/>
      <c r="C10" s="68"/>
      <c r="D10" s="68"/>
      <c r="E10" s="68"/>
      <c r="F10" s="68"/>
      <c r="G10" s="68"/>
      <c r="H10" s="68"/>
    </row>
    <row r="11" spans="1:8" ht="21">
      <c r="A11" s="68"/>
      <c r="B11" s="68"/>
      <c r="C11" s="68"/>
      <c r="D11" s="68"/>
      <c r="E11" s="68"/>
      <c r="F11" s="68"/>
      <c r="G11" s="68"/>
      <c r="H11" s="68"/>
    </row>
    <row r="12" spans="1:8" ht="21">
      <c r="A12" s="68"/>
      <c r="B12" s="68"/>
      <c r="C12" s="68"/>
      <c r="D12" s="68"/>
      <c r="E12" s="68"/>
      <c r="F12" s="68"/>
      <c r="G12" s="68"/>
      <c r="H12" s="68"/>
    </row>
    <row r="13" spans="1:8" ht="21">
      <c r="A13" s="68"/>
      <c r="B13" s="68"/>
      <c r="C13" s="68"/>
      <c r="D13" s="68"/>
      <c r="E13" s="68"/>
      <c r="F13" s="68"/>
      <c r="G13" s="68"/>
      <c r="H13" s="68"/>
    </row>
    <row r="14" spans="1:8" ht="21">
      <c r="A14" s="68"/>
      <c r="B14" s="68"/>
      <c r="C14" s="68"/>
      <c r="D14" s="68"/>
      <c r="E14" s="68"/>
      <c r="F14" s="68"/>
      <c r="G14" s="68"/>
      <c r="H14" s="68"/>
    </row>
    <row r="15" spans="1:8" ht="21">
      <c r="A15" s="69"/>
      <c r="B15" s="69"/>
      <c r="C15" s="69"/>
      <c r="D15" s="69"/>
      <c r="E15" s="69"/>
      <c r="F15" s="69"/>
      <c r="G15" s="69"/>
      <c r="H15" s="69"/>
    </row>
    <row r="16" spans="1:8" ht="21.75" thickBot="1">
      <c r="A16" s="88"/>
      <c r="B16" s="88"/>
      <c r="C16" s="88"/>
      <c r="D16" s="88"/>
      <c r="E16" s="88"/>
      <c r="F16" s="88"/>
      <c r="G16" s="88">
        <f>SUM(G9:G15)</f>
        <v>9075720.4399999995</v>
      </c>
      <c r="H16" s="88"/>
    </row>
    <row r="17" spans="2:9" ht="15" thickTop="1"/>
    <row r="20" spans="2:9" ht="21">
      <c r="B20" s="80"/>
      <c r="C20" s="77"/>
      <c r="D20" s="77"/>
      <c r="E20" s="77"/>
      <c r="F20" s="77"/>
      <c r="G20" s="77"/>
      <c r="H20" s="77"/>
      <c r="I20" s="130"/>
    </row>
    <row r="21" spans="2:9" ht="21">
      <c r="B21" s="80"/>
      <c r="C21" s="77"/>
      <c r="D21" s="77"/>
      <c r="E21" s="77"/>
      <c r="F21" s="77"/>
      <c r="G21" s="77"/>
      <c r="H21" s="77"/>
      <c r="I21" s="78"/>
    </row>
    <row r="22" spans="2:9" ht="21">
      <c r="B22" s="80"/>
      <c r="C22" s="77"/>
      <c r="D22" s="77"/>
      <c r="E22" s="77"/>
      <c r="F22" s="77"/>
      <c r="G22" s="77"/>
      <c r="H22" s="77"/>
      <c r="I22" s="78"/>
    </row>
    <row r="23" spans="2:9" ht="21">
      <c r="B23" s="80"/>
      <c r="C23" s="77"/>
      <c r="D23" s="77"/>
      <c r="E23" s="77"/>
      <c r="F23" s="77"/>
      <c r="G23" s="77"/>
      <c r="H23" s="77"/>
      <c r="I23" s="78"/>
    </row>
    <row r="24" spans="2:9" ht="21">
      <c r="B24" s="80"/>
      <c r="C24" s="77"/>
      <c r="D24" s="77"/>
      <c r="E24" s="77"/>
      <c r="F24" s="77"/>
      <c r="G24" s="77"/>
      <c r="H24" s="77"/>
      <c r="I24" s="78"/>
    </row>
    <row r="25" spans="2:9" ht="21">
      <c r="B25" s="80"/>
      <c r="C25" s="77"/>
      <c r="D25" s="77"/>
      <c r="E25" s="77"/>
      <c r="F25" s="77"/>
      <c r="G25" s="77"/>
      <c r="H25" s="77"/>
      <c r="I25" s="78"/>
    </row>
  </sheetData>
  <mergeCells count="3">
    <mergeCell ref="A1:H1"/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9"/>
  </sheetPr>
  <dimension ref="A1:H23"/>
  <sheetViews>
    <sheetView workbookViewId="0">
      <selection activeCell="A3" sqref="A3:F3"/>
    </sheetView>
  </sheetViews>
  <sheetFormatPr defaultRowHeight="14.25"/>
  <cols>
    <col min="1" max="6" width="18.875" customWidth="1"/>
  </cols>
  <sheetData>
    <row r="1" spans="1:6" ht="21">
      <c r="A1" s="294" t="s">
        <v>0</v>
      </c>
      <c r="B1" s="294"/>
      <c r="C1" s="294"/>
      <c r="D1" s="294"/>
      <c r="E1" s="294"/>
      <c r="F1" s="294"/>
    </row>
    <row r="2" spans="1:6" ht="21">
      <c r="A2" s="294" t="s">
        <v>121</v>
      </c>
      <c r="B2" s="294"/>
      <c r="C2" s="294"/>
      <c r="D2" s="294"/>
      <c r="E2" s="294"/>
      <c r="F2" s="294"/>
    </row>
    <row r="3" spans="1:6" ht="21">
      <c r="A3" s="294" t="s">
        <v>388</v>
      </c>
      <c r="B3" s="294"/>
      <c r="C3" s="294"/>
      <c r="D3" s="294"/>
      <c r="E3" s="294"/>
      <c r="F3" s="294"/>
    </row>
    <row r="4" spans="1:6" ht="21">
      <c r="A4" s="1"/>
      <c r="B4" s="1"/>
      <c r="C4" s="1"/>
      <c r="D4" s="2"/>
      <c r="E4" s="2"/>
      <c r="F4" s="2"/>
    </row>
    <row r="5" spans="1:6" ht="21">
      <c r="A5" s="91" t="s">
        <v>123</v>
      </c>
      <c r="B5" s="91" t="s">
        <v>72</v>
      </c>
      <c r="C5" s="91" t="s">
        <v>69</v>
      </c>
      <c r="D5" s="92" t="s">
        <v>124</v>
      </c>
      <c r="E5" s="92" t="s">
        <v>98</v>
      </c>
      <c r="F5" s="92" t="s">
        <v>45</v>
      </c>
    </row>
    <row r="6" spans="1:6" ht="21">
      <c r="A6" s="64"/>
      <c r="B6" s="64"/>
      <c r="C6" s="64"/>
      <c r="D6" s="65"/>
      <c r="E6" s="65"/>
      <c r="F6" s="65"/>
    </row>
    <row r="7" spans="1:6" ht="21">
      <c r="A7" s="67" t="s">
        <v>98</v>
      </c>
      <c r="B7" s="67" t="s">
        <v>98</v>
      </c>
      <c r="C7" s="67" t="s">
        <v>75</v>
      </c>
      <c r="D7" s="68">
        <v>10948500</v>
      </c>
      <c r="E7" s="68">
        <v>9398109.5</v>
      </c>
      <c r="F7" s="68">
        <f>E7</f>
        <v>9398109.5</v>
      </c>
    </row>
    <row r="8" spans="1:6" ht="21">
      <c r="A8" s="67"/>
      <c r="B8" s="67"/>
      <c r="C8" s="67"/>
      <c r="D8" s="68"/>
      <c r="E8" s="68"/>
      <c r="F8" s="68"/>
    </row>
    <row r="9" spans="1:6" ht="21">
      <c r="A9" s="67"/>
      <c r="B9" s="67"/>
      <c r="C9" s="67"/>
      <c r="D9" s="68"/>
      <c r="E9" s="68"/>
      <c r="F9" s="68"/>
    </row>
    <row r="10" spans="1:6" ht="21">
      <c r="A10" s="67"/>
      <c r="B10" s="67"/>
      <c r="C10" s="67"/>
      <c r="D10" s="68"/>
      <c r="E10" s="68"/>
      <c r="F10" s="68"/>
    </row>
    <row r="11" spans="1:6" ht="21">
      <c r="A11" s="67"/>
      <c r="B11" s="67"/>
      <c r="C11" s="67"/>
      <c r="D11" s="68"/>
      <c r="E11" s="68"/>
      <c r="F11" s="68"/>
    </row>
    <row r="12" spans="1:6" ht="21">
      <c r="A12" s="67"/>
      <c r="B12" s="67"/>
      <c r="C12" s="67"/>
      <c r="D12" s="68"/>
      <c r="E12" s="68"/>
      <c r="F12" s="68"/>
    </row>
    <row r="13" spans="1:6" ht="21.75" thickBot="1">
      <c r="A13" s="93"/>
      <c r="B13" s="93"/>
      <c r="C13" s="93"/>
      <c r="D13" s="88">
        <f>SUM(D7:D12)</f>
        <v>10948500</v>
      </c>
      <c r="E13" s="88">
        <f t="shared" ref="E13:F13" si="0">SUM(E7:E12)</f>
        <v>9398109.5</v>
      </c>
      <c r="F13" s="88">
        <f t="shared" si="0"/>
        <v>9398109.5</v>
      </c>
    </row>
    <row r="14" spans="1:6" ht="15" thickTop="1"/>
    <row r="16" spans="1:6">
      <c r="E16" s="139"/>
    </row>
    <row r="18" spans="1:8" ht="21">
      <c r="A18" s="80"/>
      <c r="B18" s="77"/>
      <c r="C18" s="77"/>
      <c r="D18" s="77"/>
      <c r="E18" s="77"/>
      <c r="F18" s="77"/>
      <c r="G18" s="77"/>
      <c r="H18" s="130"/>
    </row>
    <row r="19" spans="1:8" ht="21">
      <c r="A19" s="80"/>
      <c r="B19" s="77"/>
      <c r="C19" s="77"/>
      <c r="D19" s="77"/>
      <c r="E19" s="77"/>
      <c r="F19" s="77"/>
      <c r="G19" s="77"/>
      <c r="H19" s="78"/>
    </row>
    <row r="20" spans="1:8" ht="21">
      <c r="A20" s="80"/>
      <c r="B20" s="77"/>
      <c r="C20" s="77"/>
      <c r="D20" s="77"/>
      <c r="E20" s="77"/>
      <c r="F20" s="77"/>
      <c r="G20" s="77"/>
      <c r="H20" s="78"/>
    </row>
    <row r="21" spans="1:8" ht="21">
      <c r="A21" s="80"/>
      <c r="B21" s="77"/>
      <c r="C21" s="77"/>
      <c r="D21" s="77"/>
      <c r="E21" s="77"/>
      <c r="F21" s="77"/>
      <c r="G21" s="77"/>
      <c r="H21" s="78"/>
    </row>
    <row r="22" spans="1:8" ht="21">
      <c r="A22" s="80"/>
      <c r="B22" s="77"/>
      <c r="C22" s="77"/>
      <c r="D22" s="77"/>
      <c r="E22" s="77"/>
      <c r="F22" s="77"/>
      <c r="G22" s="77"/>
      <c r="H22" s="78"/>
    </row>
    <row r="23" spans="1:8" ht="21">
      <c r="A23" s="80"/>
      <c r="B23" s="77"/>
      <c r="C23" s="77"/>
      <c r="D23" s="77"/>
      <c r="E23" s="77"/>
      <c r="F23" s="77"/>
      <c r="G23" s="77"/>
      <c r="H23" s="78"/>
    </row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9"/>
  </sheetPr>
  <dimension ref="A1:H26"/>
  <sheetViews>
    <sheetView workbookViewId="0">
      <selection activeCell="G13" sqref="G13"/>
    </sheetView>
  </sheetViews>
  <sheetFormatPr defaultColWidth="14" defaultRowHeight="14.25"/>
  <sheetData>
    <row r="1" spans="1:8" s="105" customFormat="1" ht="18.75">
      <c r="A1" s="312" t="s">
        <v>0</v>
      </c>
      <c r="B1" s="312"/>
      <c r="C1" s="312"/>
      <c r="D1" s="312"/>
      <c r="E1" s="312"/>
      <c r="F1" s="312"/>
      <c r="G1" s="312"/>
      <c r="H1" s="312"/>
    </row>
    <row r="2" spans="1:8" s="105" customFormat="1" ht="18.75">
      <c r="A2" s="312" t="s">
        <v>125</v>
      </c>
      <c r="B2" s="312"/>
      <c r="C2" s="312"/>
      <c r="D2" s="312"/>
      <c r="E2" s="312"/>
      <c r="F2" s="312"/>
      <c r="G2" s="312"/>
      <c r="H2" s="312"/>
    </row>
    <row r="3" spans="1:8" s="105" customFormat="1" ht="18.75">
      <c r="A3" s="312" t="s">
        <v>388</v>
      </c>
      <c r="B3" s="312"/>
      <c r="C3" s="312"/>
      <c r="D3" s="312"/>
      <c r="E3" s="312"/>
      <c r="F3" s="312"/>
      <c r="G3" s="312"/>
      <c r="H3" s="312"/>
    </row>
    <row r="4" spans="1:8" s="105" customFormat="1" ht="14.25" customHeight="1">
      <c r="A4" s="106"/>
      <c r="B4" s="106"/>
      <c r="C4" s="106"/>
      <c r="D4" s="107"/>
      <c r="E4" s="107"/>
      <c r="F4" s="107"/>
      <c r="G4" s="107"/>
      <c r="H4" s="107"/>
    </row>
    <row r="5" spans="1:8" ht="15.75">
      <c r="A5" s="94" t="s">
        <v>123</v>
      </c>
      <c r="B5" s="94" t="s">
        <v>72</v>
      </c>
      <c r="C5" s="94" t="s">
        <v>69</v>
      </c>
      <c r="D5" s="95" t="s">
        <v>124</v>
      </c>
      <c r="E5" s="95" t="s">
        <v>76</v>
      </c>
      <c r="F5" s="95" t="s">
        <v>126</v>
      </c>
      <c r="G5" s="95" t="s">
        <v>77</v>
      </c>
      <c r="H5" s="95" t="s">
        <v>45</v>
      </c>
    </row>
    <row r="6" spans="1:8" ht="15.75">
      <c r="A6" s="96"/>
      <c r="B6" s="96"/>
      <c r="C6" s="96"/>
      <c r="D6" s="97"/>
      <c r="E6" s="97"/>
      <c r="F6" s="97" t="s">
        <v>127</v>
      </c>
      <c r="G6" s="97"/>
      <c r="H6" s="97"/>
    </row>
    <row r="7" spans="1:8" ht="15.75">
      <c r="A7" s="98"/>
      <c r="B7" s="98"/>
      <c r="C7" s="98"/>
      <c r="D7" s="99"/>
      <c r="E7" s="99"/>
      <c r="F7" s="99"/>
      <c r="G7" s="99"/>
      <c r="H7" s="99"/>
    </row>
    <row r="8" spans="1:8" ht="15.75">
      <c r="A8" s="100" t="s">
        <v>128</v>
      </c>
      <c r="B8" s="100" t="s">
        <v>129</v>
      </c>
      <c r="C8" s="100" t="s">
        <v>75</v>
      </c>
      <c r="D8" s="101">
        <v>2484720</v>
      </c>
      <c r="E8" s="101">
        <v>2484720</v>
      </c>
      <c r="F8" s="101"/>
      <c r="G8" s="101"/>
      <c r="H8" s="101">
        <f>E8+F8+G8</f>
        <v>2484720</v>
      </c>
    </row>
    <row r="9" spans="1:8" ht="15.75">
      <c r="A9" s="100"/>
      <c r="B9" s="100" t="s">
        <v>130</v>
      </c>
      <c r="C9" s="100" t="s">
        <v>75</v>
      </c>
      <c r="D9" s="101">
        <v>4963000</v>
      </c>
      <c r="E9" s="101">
        <v>3071392</v>
      </c>
      <c r="F9" s="101"/>
      <c r="G9" s="101">
        <v>1459980</v>
      </c>
      <c r="H9" s="101">
        <f>E9+F9+G9</f>
        <v>4531372</v>
      </c>
    </row>
    <row r="10" spans="1:8" ht="15.75">
      <c r="A10" s="100" t="s">
        <v>132</v>
      </c>
      <c r="B10" s="100" t="s">
        <v>133</v>
      </c>
      <c r="C10" s="100" t="s">
        <v>75</v>
      </c>
      <c r="D10" s="101">
        <v>402800</v>
      </c>
      <c r="E10" s="101">
        <v>176502.5</v>
      </c>
      <c r="F10" s="101"/>
      <c r="G10" s="101">
        <v>137330</v>
      </c>
      <c r="H10" s="101">
        <f t="shared" ref="H10:H17" si="0">E10+F10+G10</f>
        <v>313832.5</v>
      </c>
    </row>
    <row r="11" spans="1:8" ht="15.75">
      <c r="A11" s="100"/>
      <c r="B11" s="100" t="s">
        <v>79</v>
      </c>
      <c r="C11" s="100" t="s">
        <v>75</v>
      </c>
      <c r="D11" s="101">
        <v>1670000</v>
      </c>
      <c r="E11" s="101">
        <v>911542.36</v>
      </c>
      <c r="F11" s="101"/>
      <c r="G11" s="101">
        <v>495621</v>
      </c>
      <c r="H11" s="101">
        <f t="shared" si="0"/>
        <v>1407163.3599999999</v>
      </c>
    </row>
    <row r="12" spans="1:8" ht="15.75">
      <c r="A12" s="100"/>
      <c r="B12" s="100" t="s">
        <v>93</v>
      </c>
      <c r="C12" s="100" t="s">
        <v>75</v>
      </c>
      <c r="D12" s="101">
        <v>298000</v>
      </c>
      <c r="E12" s="101">
        <v>149976.38</v>
      </c>
      <c r="F12" s="238"/>
      <c r="G12" s="101">
        <v>50371</v>
      </c>
      <c r="H12" s="101">
        <f t="shared" si="0"/>
        <v>200347.38</v>
      </c>
    </row>
    <row r="13" spans="1:8" ht="15.75">
      <c r="A13" s="100"/>
      <c r="B13" s="100" t="s">
        <v>134</v>
      </c>
      <c r="C13" s="100" t="s">
        <v>75</v>
      </c>
      <c r="D13" s="101">
        <v>314000</v>
      </c>
      <c r="E13" s="101">
        <v>229212.68</v>
      </c>
      <c r="F13" s="101"/>
      <c r="G13" s="101"/>
      <c r="H13" s="101">
        <f t="shared" si="0"/>
        <v>229212.68</v>
      </c>
    </row>
    <row r="14" spans="1:8" ht="15.75">
      <c r="A14" s="100" t="s">
        <v>135</v>
      </c>
      <c r="B14" s="100" t="s">
        <v>96</v>
      </c>
      <c r="C14" s="100" t="s">
        <v>75</v>
      </c>
      <c r="D14" s="101">
        <v>65000</v>
      </c>
      <c r="E14" s="101">
        <v>50000</v>
      </c>
      <c r="F14" s="101"/>
      <c r="G14" s="101"/>
      <c r="H14" s="101">
        <f>E14+F14+G14</f>
        <v>50000</v>
      </c>
    </row>
    <row r="15" spans="1:8" ht="15.75">
      <c r="A15" s="100"/>
      <c r="B15" s="100" t="s">
        <v>136</v>
      </c>
      <c r="C15" s="100" t="s">
        <v>75</v>
      </c>
      <c r="D15" s="101">
        <v>0</v>
      </c>
      <c r="E15" s="101"/>
      <c r="F15" s="101"/>
      <c r="G15" s="101"/>
      <c r="H15" s="101">
        <f t="shared" si="0"/>
        <v>0</v>
      </c>
    </row>
    <row r="16" spans="1:8" ht="15.75">
      <c r="A16" s="100"/>
      <c r="B16" s="100" t="s">
        <v>136</v>
      </c>
      <c r="C16" s="100" t="s">
        <v>131</v>
      </c>
      <c r="D16" s="101">
        <v>0</v>
      </c>
      <c r="E16" s="101"/>
      <c r="F16" s="101"/>
      <c r="G16" s="101"/>
      <c r="H16" s="101"/>
    </row>
    <row r="17" spans="1:8" ht="15.75">
      <c r="A17" s="100" t="s">
        <v>137</v>
      </c>
      <c r="B17" s="100" t="s">
        <v>137</v>
      </c>
      <c r="C17" s="100" t="s">
        <v>75</v>
      </c>
      <c r="D17" s="101">
        <v>20000</v>
      </c>
      <c r="E17" s="101">
        <v>20000</v>
      </c>
      <c r="F17" s="101"/>
      <c r="G17" s="101"/>
      <c r="H17" s="101">
        <f t="shared" si="0"/>
        <v>20000</v>
      </c>
    </row>
    <row r="18" spans="1:8" ht="16.5" thickBot="1">
      <c r="A18" s="103"/>
      <c r="B18" s="103"/>
      <c r="C18" s="103"/>
      <c r="D18" s="104">
        <f>SUM(D8:D17)</f>
        <v>10217520</v>
      </c>
      <c r="E18" s="104">
        <f>SUM(E8:E17)</f>
        <v>7093345.9199999999</v>
      </c>
      <c r="F18" s="104">
        <f>SUM(F8:F17)</f>
        <v>0</v>
      </c>
      <c r="G18" s="104">
        <f>SUM(G8:G17)</f>
        <v>2143302</v>
      </c>
      <c r="H18" s="104">
        <f>SUM(H8:H17)</f>
        <v>9236647.9199999999</v>
      </c>
    </row>
    <row r="19" spans="1:8" ht="15" thickTop="1"/>
    <row r="21" spans="1:8" ht="21">
      <c r="A21" s="80"/>
      <c r="B21" s="77"/>
      <c r="C21" s="77"/>
      <c r="D21" s="77"/>
      <c r="E21" s="77"/>
      <c r="F21" s="77"/>
      <c r="G21" s="77"/>
      <c r="H21" s="130"/>
    </row>
    <row r="22" spans="1:8" ht="21">
      <c r="A22" s="80"/>
      <c r="B22" s="77"/>
      <c r="C22" s="77"/>
      <c r="D22" s="77"/>
      <c r="E22" s="77"/>
      <c r="F22" s="77"/>
      <c r="G22" s="77"/>
      <c r="H22" s="78"/>
    </row>
    <row r="23" spans="1:8" ht="21">
      <c r="A23" s="80"/>
      <c r="B23" s="77"/>
      <c r="C23" s="77"/>
      <c r="D23" s="77"/>
      <c r="E23" s="77"/>
      <c r="F23" s="77"/>
      <c r="G23" s="77"/>
      <c r="H23" s="78"/>
    </row>
    <row r="24" spans="1:8" ht="21">
      <c r="A24" s="80"/>
      <c r="B24" s="77"/>
      <c r="C24" s="77"/>
      <c r="D24" s="77"/>
      <c r="E24" s="77"/>
      <c r="F24" s="77"/>
      <c r="G24" s="77"/>
      <c r="H24" s="78"/>
    </row>
    <row r="25" spans="1:8" ht="21">
      <c r="A25" s="80"/>
      <c r="B25" s="77"/>
      <c r="C25" s="77"/>
      <c r="D25" s="77"/>
      <c r="E25" s="77"/>
      <c r="F25" s="77"/>
      <c r="G25" s="77"/>
      <c r="H25" s="78"/>
    </row>
    <row r="26" spans="1:8" ht="21">
      <c r="A26" s="80"/>
      <c r="B26" s="77"/>
      <c r="C26" s="77"/>
      <c r="D26" s="77"/>
      <c r="E26" s="77"/>
      <c r="F26" s="77"/>
      <c r="G26" s="77"/>
      <c r="H26" s="78"/>
    </row>
  </sheetData>
  <mergeCells count="3">
    <mergeCell ref="A1:H1"/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9"/>
  </sheetPr>
  <dimension ref="A1:H25"/>
  <sheetViews>
    <sheetView topLeftCell="A4" workbookViewId="0">
      <selection activeCell="E12" sqref="E12"/>
    </sheetView>
  </sheetViews>
  <sheetFormatPr defaultColWidth="15.125" defaultRowHeight="14.25"/>
  <sheetData>
    <row r="1" spans="1:8" ht="18.75">
      <c r="A1" s="312" t="s">
        <v>0</v>
      </c>
      <c r="B1" s="312"/>
      <c r="C1" s="312"/>
      <c r="D1" s="312"/>
      <c r="E1" s="312"/>
      <c r="F1" s="312"/>
      <c r="G1" s="312"/>
      <c r="H1" s="312"/>
    </row>
    <row r="2" spans="1:8" ht="18.75">
      <c r="A2" s="312" t="s">
        <v>138</v>
      </c>
      <c r="B2" s="312"/>
      <c r="C2" s="312"/>
      <c r="D2" s="312"/>
      <c r="E2" s="312"/>
      <c r="F2" s="312"/>
      <c r="G2" s="312"/>
      <c r="H2" s="312"/>
    </row>
    <row r="3" spans="1:8" ht="18.75">
      <c r="A3" s="312" t="s">
        <v>274</v>
      </c>
      <c r="B3" s="312"/>
      <c r="C3" s="312"/>
      <c r="D3" s="312"/>
      <c r="E3" s="312"/>
      <c r="F3" s="312"/>
      <c r="G3" s="312"/>
      <c r="H3" s="312"/>
    </row>
    <row r="4" spans="1:8" ht="21">
      <c r="A4" s="1"/>
      <c r="B4" s="1"/>
      <c r="C4" s="1"/>
      <c r="D4" s="2"/>
      <c r="E4" s="2"/>
      <c r="F4" s="2"/>
      <c r="G4" s="2"/>
      <c r="H4" s="2"/>
    </row>
    <row r="5" spans="1:8" ht="15.75">
      <c r="A5" s="94" t="s">
        <v>123</v>
      </c>
      <c r="B5" s="94" t="s">
        <v>72</v>
      </c>
      <c r="C5" s="94" t="s">
        <v>69</v>
      </c>
      <c r="D5" s="95" t="s">
        <v>124</v>
      </c>
      <c r="E5" s="95" t="s">
        <v>76</v>
      </c>
      <c r="F5" s="95" t="s">
        <v>139</v>
      </c>
      <c r="G5" s="95" t="s">
        <v>140</v>
      </c>
      <c r="H5" s="95" t="s">
        <v>45</v>
      </c>
    </row>
    <row r="6" spans="1:8" ht="15.75">
      <c r="A6" s="96"/>
      <c r="B6" s="96"/>
      <c r="C6" s="96"/>
      <c r="D6" s="97"/>
      <c r="E6" s="97" t="s">
        <v>141</v>
      </c>
      <c r="F6" s="97"/>
      <c r="G6" s="97" t="s">
        <v>142</v>
      </c>
      <c r="H6" s="97"/>
    </row>
    <row r="7" spans="1:8" ht="15.75">
      <c r="A7" s="98"/>
      <c r="B7" s="98"/>
      <c r="C7" s="98"/>
      <c r="D7" s="99"/>
      <c r="E7" s="99"/>
      <c r="F7" s="99"/>
      <c r="G7" s="99"/>
      <c r="H7" s="99"/>
    </row>
    <row r="8" spans="1:8" ht="15.75">
      <c r="A8" s="100" t="s">
        <v>128</v>
      </c>
      <c r="B8" s="100" t="s">
        <v>129</v>
      </c>
      <c r="C8" s="100" t="s">
        <v>75</v>
      </c>
      <c r="D8" s="101"/>
      <c r="E8" s="101"/>
      <c r="F8" s="101"/>
      <c r="G8" s="101"/>
      <c r="H8" s="101">
        <f>E8+F8+G8</f>
        <v>0</v>
      </c>
    </row>
    <row r="9" spans="1:8" ht="15.75">
      <c r="A9" s="100"/>
      <c r="B9" s="100" t="s">
        <v>130</v>
      </c>
      <c r="C9" s="100" t="s">
        <v>75</v>
      </c>
      <c r="D9" s="101"/>
      <c r="E9" s="101"/>
      <c r="F9" s="101"/>
      <c r="G9" s="101"/>
      <c r="H9" s="101">
        <f t="shared" ref="H9:H17" si="0">E9+F9+G9</f>
        <v>0</v>
      </c>
    </row>
    <row r="10" spans="1:8" ht="15.75">
      <c r="A10" s="100" t="s">
        <v>132</v>
      </c>
      <c r="B10" s="100" t="s">
        <v>133</v>
      </c>
      <c r="C10" s="100" t="s">
        <v>75</v>
      </c>
      <c r="D10" s="101"/>
      <c r="E10" s="101"/>
      <c r="F10" s="101"/>
      <c r="G10" s="101"/>
      <c r="H10" s="101">
        <f t="shared" si="0"/>
        <v>0</v>
      </c>
    </row>
    <row r="11" spans="1:8" ht="15.75">
      <c r="A11" s="100"/>
      <c r="B11" s="100" t="s">
        <v>79</v>
      </c>
      <c r="C11" s="100" t="s">
        <v>75</v>
      </c>
      <c r="D11" s="101">
        <v>40000</v>
      </c>
      <c r="E11" s="101">
        <v>9158</v>
      </c>
      <c r="F11" s="101"/>
      <c r="G11" s="101"/>
      <c r="H11" s="101">
        <f t="shared" si="0"/>
        <v>9158</v>
      </c>
    </row>
    <row r="12" spans="1:8" ht="15.75">
      <c r="A12" s="100"/>
      <c r="B12" s="100" t="s">
        <v>93</v>
      </c>
      <c r="C12" s="100" t="s">
        <v>75</v>
      </c>
      <c r="D12" s="101"/>
      <c r="E12" s="101"/>
      <c r="F12" s="101"/>
      <c r="G12" s="101"/>
      <c r="H12" s="101">
        <f t="shared" si="0"/>
        <v>0</v>
      </c>
    </row>
    <row r="13" spans="1:8" ht="15.75">
      <c r="A13" s="100"/>
      <c r="B13" s="100" t="s">
        <v>134</v>
      </c>
      <c r="C13" s="100" t="s">
        <v>75</v>
      </c>
      <c r="D13" s="101"/>
      <c r="E13" s="101"/>
      <c r="F13" s="101"/>
      <c r="G13" s="101"/>
      <c r="H13" s="101">
        <f t="shared" si="0"/>
        <v>0</v>
      </c>
    </row>
    <row r="14" spans="1:8" ht="15.75">
      <c r="A14" s="100" t="s">
        <v>135</v>
      </c>
      <c r="B14" s="100" t="s">
        <v>96</v>
      </c>
      <c r="C14" s="100" t="s">
        <v>75</v>
      </c>
      <c r="D14" s="101"/>
      <c r="E14" s="101"/>
      <c r="F14" s="101"/>
      <c r="G14" s="101"/>
      <c r="H14" s="101">
        <f t="shared" si="0"/>
        <v>0</v>
      </c>
    </row>
    <row r="15" spans="1:8" ht="15.75">
      <c r="A15" s="100"/>
      <c r="B15" s="100" t="s">
        <v>136</v>
      </c>
      <c r="C15" s="100" t="s">
        <v>75</v>
      </c>
      <c r="D15" s="101"/>
      <c r="E15" s="101"/>
      <c r="F15" s="101"/>
      <c r="G15" s="101"/>
      <c r="H15" s="101"/>
    </row>
    <row r="16" spans="1:8" ht="15.75">
      <c r="A16" s="100" t="s">
        <v>137</v>
      </c>
      <c r="B16" s="100" t="s">
        <v>137</v>
      </c>
      <c r="C16" s="100" t="s">
        <v>75</v>
      </c>
      <c r="D16" s="101"/>
      <c r="E16" s="101"/>
      <c r="F16" s="101"/>
      <c r="G16" s="101"/>
      <c r="H16" s="101">
        <f t="shared" si="0"/>
        <v>0</v>
      </c>
    </row>
    <row r="17" spans="1:8" ht="16.5" thickBot="1">
      <c r="A17" s="103"/>
      <c r="B17" s="103"/>
      <c r="C17" s="103"/>
      <c r="D17" s="104">
        <f>SUM(D8:D16)</f>
        <v>40000</v>
      </c>
      <c r="E17" s="104">
        <f>SUM(E8:E16)</f>
        <v>9158</v>
      </c>
      <c r="F17" s="104">
        <f>SUM(F8:F16)</f>
        <v>0</v>
      </c>
      <c r="G17" s="104">
        <f>SUM(G8:G16)</f>
        <v>0</v>
      </c>
      <c r="H17" s="104">
        <f t="shared" si="0"/>
        <v>9158</v>
      </c>
    </row>
    <row r="18" spans="1:8" ht="15" thickTop="1"/>
    <row r="20" spans="1:8" ht="21">
      <c r="A20" s="80"/>
      <c r="B20" s="77"/>
      <c r="C20" s="77"/>
      <c r="D20" s="77"/>
      <c r="E20" s="77"/>
      <c r="F20" s="77"/>
      <c r="G20" s="77"/>
      <c r="H20" s="130"/>
    </row>
    <row r="21" spans="1:8" ht="21">
      <c r="A21" s="80"/>
      <c r="B21" s="77"/>
      <c r="C21" s="77"/>
      <c r="D21" s="77"/>
      <c r="E21" s="77"/>
      <c r="F21" s="77"/>
      <c r="G21" s="77"/>
      <c r="H21" s="78"/>
    </row>
    <row r="22" spans="1:8" ht="21">
      <c r="A22" s="80"/>
      <c r="B22" s="77"/>
      <c r="C22" s="77"/>
      <c r="D22" s="77"/>
      <c r="E22" s="77"/>
      <c r="F22" s="77"/>
      <c r="G22" s="77"/>
      <c r="H22" s="78"/>
    </row>
    <row r="23" spans="1:8" ht="21">
      <c r="A23" s="80"/>
      <c r="B23" s="77"/>
      <c r="C23" s="77"/>
      <c r="D23" s="77"/>
      <c r="E23" s="77"/>
      <c r="F23" s="77"/>
      <c r="G23" s="77"/>
      <c r="H23" s="78"/>
    </row>
    <row r="24" spans="1:8" ht="21">
      <c r="A24" s="80"/>
      <c r="B24" s="77"/>
      <c r="C24" s="77"/>
      <c r="D24" s="77"/>
      <c r="E24" s="77"/>
      <c r="F24" s="77"/>
      <c r="G24" s="77"/>
      <c r="H24" s="78"/>
    </row>
    <row r="25" spans="1:8" ht="21">
      <c r="A25" s="80"/>
      <c r="B25" s="77"/>
      <c r="C25" s="77"/>
      <c r="D25" s="77"/>
      <c r="E25" s="77"/>
      <c r="F25" s="77"/>
      <c r="G25" s="77"/>
      <c r="H25" s="78"/>
    </row>
  </sheetData>
  <mergeCells count="3">
    <mergeCell ref="A1:H1"/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9"/>
  </sheetPr>
  <dimension ref="A1:I26"/>
  <sheetViews>
    <sheetView workbookViewId="0">
      <selection activeCell="H12" sqref="H12"/>
    </sheetView>
  </sheetViews>
  <sheetFormatPr defaultColWidth="13.125" defaultRowHeight="14.25"/>
  <sheetData>
    <row r="1" spans="1:9" s="105" customFormat="1" ht="18.75">
      <c r="A1" s="312" t="s">
        <v>0</v>
      </c>
      <c r="B1" s="312"/>
      <c r="C1" s="312"/>
      <c r="D1" s="312"/>
      <c r="E1" s="312"/>
      <c r="F1" s="312"/>
      <c r="G1" s="312"/>
      <c r="H1" s="312"/>
      <c r="I1" s="312"/>
    </row>
    <row r="2" spans="1:9" s="105" customFormat="1" ht="18.75">
      <c r="A2" s="312" t="s">
        <v>143</v>
      </c>
      <c r="B2" s="312"/>
      <c r="C2" s="312"/>
      <c r="D2" s="312"/>
      <c r="E2" s="312"/>
      <c r="F2" s="312"/>
      <c r="G2" s="312"/>
      <c r="H2" s="312"/>
      <c r="I2" s="312"/>
    </row>
    <row r="3" spans="1:9" s="105" customFormat="1" ht="18.75">
      <c r="A3" s="312" t="s">
        <v>388</v>
      </c>
      <c r="B3" s="312"/>
      <c r="C3" s="312"/>
      <c r="D3" s="312"/>
      <c r="E3" s="312"/>
      <c r="F3" s="312"/>
      <c r="G3" s="312"/>
      <c r="H3" s="312"/>
      <c r="I3" s="312"/>
    </row>
    <row r="4" spans="1:9" s="105" customFormat="1" ht="18.75">
      <c r="A4" s="106"/>
      <c r="B4" s="106"/>
      <c r="C4" s="106"/>
      <c r="D4" s="107"/>
      <c r="E4" s="107"/>
      <c r="F4" s="107"/>
      <c r="G4" s="107"/>
      <c r="H4" s="107"/>
      <c r="I4" s="107"/>
    </row>
    <row r="5" spans="1:9" ht="15.75">
      <c r="A5" s="94" t="s">
        <v>123</v>
      </c>
      <c r="B5" s="94" t="s">
        <v>72</v>
      </c>
      <c r="C5" s="94" t="s">
        <v>69</v>
      </c>
      <c r="D5" s="95" t="s">
        <v>124</v>
      </c>
      <c r="E5" s="95" t="s">
        <v>76</v>
      </c>
      <c r="F5" s="95" t="s">
        <v>144</v>
      </c>
      <c r="G5" s="95" t="s">
        <v>145</v>
      </c>
      <c r="H5" s="95" t="s">
        <v>146</v>
      </c>
      <c r="I5" s="95" t="s">
        <v>45</v>
      </c>
    </row>
    <row r="6" spans="1:9" ht="15.75">
      <c r="A6" s="96"/>
      <c r="B6" s="96"/>
      <c r="C6" s="96"/>
      <c r="D6" s="97"/>
      <c r="E6" s="97" t="s">
        <v>147</v>
      </c>
      <c r="F6" s="97" t="s">
        <v>148</v>
      </c>
      <c r="G6" s="97" t="s">
        <v>149</v>
      </c>
      <c r="H6" s="97" t="s">
        <v>150</v>
      </c>
      <c r="I6" s="97"/>
    </row>
    <row r="7" spans="1:9" ht="15.75">
      <c r="A7" s="98"/>
      <c r="B7" s="98"/>
      <c r="C7" s="98"/>
      <c r="D7" s="99"/>
      <c r="E7" s="99"/>
      <c r="F7" s="99"/>
      <c r="G7" s="99"/>
      <c r="H7" s="99"/>
      <c r="I7" s="99"/>
    </row>
    <row r="8" spans="1:9" ht="15.75">
      <c r="A8" s="100" t="s">
        <v>128</v>
      </c>
      <c r="B8" s="100" t="s">
        <v>129</v>
      </c>
      <c r="C8" s="100" t="s">
        <v>75</v>
      </c>
      <c r="D8" s="101">
        <v>4122160</v>
      </c>
      <c r="E8" s="101">
        <v>653280</v>
      </c>
      <c r="F8" s="101">
        <v>3245390</v>
      </c>
      <c r="G8" s="101"/>
      <c r="H8" s="101"/>
      <c r="I8" s="101">
        <f>E8+F8+G8+H8</f>
        <v>3898670</v>
      </c>
    </row>
    <row r="9" spans="1:9" ht="15.75">
      <c r="A9" s="100"/>
      <c r="B9" s="100" t="s">
        <v>130</v>
      </c>
      <c r="C9" s="100" t="s">
        <v>75</v>
      </c>
      <c r="D9" s="101">
        <v>107000</v>
      </c>
      <c r="E9" s="101">
        <v>42000</v>
      </c>
      <c r="F9" s="101">
        <v>29178</v>
      </c>
      <c r="G9" s="101"/>
      <c r="H9" s="101"/>
      <c r="I9" s="101">
        <f t="shared" ref="I9:I18" si="0">E9+F9+G9+H9</f>
        <v>71178</v>
      </c>
    </row>
    <row r="10" spans="1:9" ht="15.75">
      <c r="A10" s="100" t="s">
        <v>132</v>
      </c>
      <c r="B10" s="100" t="s">
        <v>133</v>
      </c>
      <c r="C10" s="100" t="s">
        <v>75</v>
      </c>
      <c r="D10" s="101">
        <v>2250000</v>
      </c>
      <c r="E10" s="101">
        <v>375268</v>
      </c>
      <c r="F10" s="101">
        <v>1426800</v>
      </c>
      <c r="G10" s="101"/>
      <c r="H10" s="101"/>
      <c r="I10" s="101">
        <f t="shared" si="0"/>
        <v>1802068</v>
      </c>
    </row>
    <row r="11" spans="1:9" ht="15.75">
      <c r="A11" s="100"/>
      <c r="B11" s="100" t="s">
        <v>79</v>
      </c>
      <c r="C11" s="100" t="s">
        <v>75</v>
      </c>
      <c r="D11" s="101">
        <v>1395000</v>
      </c>
      <c r="E11" s="101">
        <v>1236624.3999999999</v>
      </c>
      <c r="F11" s="101"/>
      <c r="G11" s="101"/>
      <c r="H11" s="101">
        <v>36198</v>
      </c>
      <c r="I11" s="101">
        <f t="shared" si="0"/>
        <v>1272822.3999999999</v>
      </c>
    </row>
    <row r="12" spans="1:9" ht="15.75">
      <c r="A12" s="100"/>
      <c r="B12" s="100" t="s">
        <v>93</v>
      </c>
      <c r="C12" s="100" t="s">
        <v>75</v>
      </c>
      <c r="D12" s="101"/>
      <c r="E12" s="101"/>
      <c r="F12" s="101"/>
      <c r="G12" s="101"/>
      <c r="H12" s="101"/>
      <c r="I12" s="101">
        <f t="shared" si="0"/>
        <v>0</v>
      </c>
    </row>
    <row r="13" spans="1:9" ht="15.75">
      <c r="A13" s="100"/>
      <c r="B13" s="100" t="s">
        <v>134</v>
      </c>
      <c r="C13" s="100" t="s">
        <v>75</v>
      </c>
      <c r="D13" s="101"/>
      <c r="E13" s="101"/>
      <c r="F13" s="101"/>
      <c r="G13" s="101"/>
      <c r="H13" s="101"/>
      <c r="I13" s="101">
        <f t="shared" si="0"/>
        <v>0</v>
      </c>
    </row>
    <row r="14" spans="1:9" ht="15.75">
      <c r="A14" s="100" t="s">
        <v>135</v>
      </c>
      <c r="B14" s="100" t="s">
        <v>96</v>
      </c>
      <c r="C14" s="100" t="s">
        <v>75</v>
      </c>
      <c r="D14" s="101">
        <v>6000</v>
      </c>
      <c r="E14" s="101">
        <v>6000</v>
      </c>
      <c r="F14" s="101"/>
      <c r="G14" s="101"/>
      <c r="H14" s="101"/>
      <c r="I14" s="101">
        <f t="shared" si="0"/>
        <v>6000</v>
      </c>
    </row>
    <row r="15" spans="1:9" ht="15.75">
      <c r="A15" s="100"/>
      <c r="B15" s="100" t="s">
        <v>136</v>
      </c>
      <c r="C15" s="100" t="s">
        <v>75</v>
      </c>
      <c r="D15" s="101">
        <v>150000</v>
      </c>
      <c r="E15" s="101"/>
      <c r="F15" s="101"/>
      <c r="G15" s="101"/>
      <c r="H15" s="101"/>
      <c r="I15" s="101">
        <f t="shared" si="0"/>
        <v>0</v>
      </c>
    </row>
    <row r="16" spans="1:9" ht="15.75">
      <c r="A16" s="100" t="s">
        <v>137</v>
      </c>
      <c r="B16" s="100" t="s">
        <v>137</v>
      </c>
      <c r="C16" s="100" t="s">
        <v>75</v>
      </c>
      <c r="D16" s="101">
        <v>1805000</v>
      </c>
      <c r="E16" s="101"/>
      <c r="F16" s="101">
        <v>1802000</v>
      </c>
      <c r="G16" s="101"/>
      <c r="H16" s="101"/>
      <c r="I16" s="101">
        <f t="shared" si="0"/>
        <v>1802000</v>
      </c>
    </row>
    <row r="17" spans="1:9" ht="15.75">
      <c r="A17" s="108"/>
      <c r="B17" s="108"/>
      <c r="C17" s="108"/>
      <c r="D17" s="102"/>
      <c r="E17" s="102"/>
      <c r="F17" s="102"/>
      <c r="G17" s="102"/>
      <c r="H17" s="102"/>
      <c r="I17" s="102">
        <f t="shared" si="0"/>
        <v>0</v>
      </c>
    </row>
    <row r="18" spans="1:9" ht="16.5" thickBot="1">
      <c r="A18" s="103"/>
      <c r="B18" s="103"/>
      <c r="C18" s="103"/>
      <c r="D18" s="104">
        <f>SUM(D8:D17)</f>
        <v>9835160</v>
      </c>
      <c r="E18" s="104">
        <f>SUM(E8:E17)</f>
        <v>2313172.4</v>
      </c>
      <c r="F18" s="104">
        <f>SUM(F8:F17)</f>
        <v>6503368</v>
      </c>
      <c r="G18" s="104">
        <f>SUM(G8:G17)</f>
        <v>0</v>
      </c>
      <c r="H18" s="104">
        <f>SUM(H8:H17)</f>
        <v>36198</v>
      </c>
      <c r="I18" s="104">
        <f t="shared" si="0"/>
        <v>8852738.4000000004</v>
      </c>
    </row>
    <row r="19" spans="1:9" ht="15" thickTop="1"/>
    <row r="21" spans="1:9" ht="21">
      <c r="A21" s="80"/>
      <c r="B21" s="77"/>
      <c r="C21" s="77"/>
      <c r="D21" s="77"/>
      <c r="E21" s="77"/>
      <c r="F21" s="77"/>
      <c r="G21" s="77"/>
      <c r="H21" s="130"/>
    </row>
    <row r="22" spans="1:9" ht="21">
      <c r="A22" s="80"/>
      <c r="B22" s="77"/>
      <c r="C22" s="77"/>
      <c r="D22" s="77"/>
      <c r="E22" s="77"/>
      <c r="F22" s="77"/>
      <c r="G22" s="77"/>
      <c r="H22" s="78"/>
    </row>
    <row r="23" spans="1:9" ht="21">
      <c r="A23" s="80"/>
      <c r="B23" s="77"/>
      <c r="C23" s="77"/>
      <c r="D23" s="77"/>
      <c r="E23" s="77"/>
      <c r="F23" s="77"/>
      <c r="G23" s="77"/>
      <c r="H23" s="78"/>
    </row>
    <row r="24" spans="1:9" ht="21">
      <c r="A24" s="80"/>
      <c r="B24" s="77"/>
      <c r="C24" s="77"/>
      <c r="D24" s="77"/>
      <c r="E24" s="77"/>
      <c r="F24" s="77"/>
      <c r="G24" s="77"/>
      <c r="H24" s="78"/>
    </row>
    <row r="25" spans="1:9" ht="21">
      <c r="A25" s="80"/>
      <c r="B25" s="77"/>
      <c r="C25" s="77"/>
      <c r="D25" s="77"/>
      <c r="E25" s="77"/>
      <c r="F25" s="77"/>
      <c r="G25" s="77"/>
      <c r="H25" s="78"/>
    </row>
    <row r="26" spans="1:9" ht="21">
      <c r="A26" s="80"/>
      <c r="B26" s="77"/>
      <c r="C26" s="77"/>
      <c r="D26" s="77"/>
      <c r="E26" s="77"/>
      <c r="F26" s="77"/>
      <c r="G26" s="77"/>
      <c r="H26" s="78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9"/>
  </sheetPr>
  <dimension ref="A1:I25"/>
  <sheetViews>
    <sheetView workbookViewId="0">
      <selection activeCell="F17" sqref="F17"/>
    </sheetView>
  </sheetViews>
  <sheetFormatPr defaultColWidth="13" defaultRowHeight="14.25"/>
  <sheetData>
    <row r="1" spans="1:9" s="105" customFormat="1" ht="13.5" customHeight="1">
      <c r="A1" s="312" t="s">
        <v>0</v>
      </c>
      <c r="B1" s="312"/>
      <c r="C1" s="312"/>
      <c r="D1" s="312"/>
      <c r="E1" s="312"/>
      <c r="F1" s="312"/>
      <c r="G1" s="312"/>
      <c r="H1" s="312"/>
      <c r="I1" s="312"/>
    </row>
    <row r="2" spans="1:9" s="105" customFormat="1" ht="13.5" customHeight="1">
      <c r="A2" s="312" t="s">
        <v>151</v>
      </c>
      <c r="B2" s="312"/>
      <c r="C2" s="312"/>
      <c r="D2" s="312"/>
      <c r="E2" s="312"/>
      <c r="F2" s="312"/>
      <c r="G2" s="312"/>
      <c r="H2" s="312"/>
      <c r="I2" s="312"/>
    </row>
    <row r="3" spans="1:9" s="105" customFormat="1" ht="13.5" customHeight="1">
      <c r="A3" s="312" t="s">
        <v>388</v>
      </c>
      <c r="B3" s="312"/>
      <c r="C3" s="312"/>
      <c r="D3" s="312"/>
      <c r="E3" s="312"/>
      <c r="F3" s="312"/>
      <c r="G3" s="312"/>
      <c r="H3" s="312"/>
      <c r="I3" s="312"/>
    </row>
    <row r="4" spans="1:9" s="105" customFormat="1" ht="13.5" customHeight="1">
      <c r="A4" s="106"/>
      <c r="B4" s="106"/>
      <c r="C4" s="106"/>
      <c r="D4" s="107"/>
      <c r="E4" s="107"/>
      <c r="F4" s="107"/>
      <c r="G4" s="107"/>
      <c r="H4" s="107"/>
      <c r="I4" s="107"/>
    </row>
    <row r="5" spans="1:9" ht="15.75">
      <c r="A5" s="94" t="s">
        <v>123</v>
      </c>
      <c r="B5" s="94" t="s">
        <v>72</v>
      </c>
      <c r="C5" s="94" t="s">
        <v>69</v>
      </c>
      <c r="D5" s="95" t="s">
        <v>124</v>
      </c>
      <c r="E5" s="95" t="s">
        <v>76</v>
      </c>
      <c r="F5" s="95" t="s">
        <v>152</v>
      </c>
      <c r="G5" s="95" t="s">
        <v>153</v>
      </c>
      <c r="H5" s="95" t="s">
        <v>154</v>
      </c>
      <c r="I5" s="95" t="s">
        <v>45</v>
      </c>
    </row>
    <row r="6" spans="1:9" ht="15.75">
      <c r="A6" s="96"/>
      <c r="B6" s="96"/>
      <c r="C6" s="96"/>
      <c r="D6" s="97"/>
      <c r="E6" s="97" t="s">
        <v>155</v>
      </c>
      <c r="F6" s="97"/>
      <c r="G6" s="97" t="s">
        <v>91</v>
      </c>
      <c r="H6" s="97" t="s">
        <v>91</v>
      </c>
      <c r="I6" s="97"/>
    </row>
    <row r="7" spans="1:9" ht="15.75">
      <c r="A7" s="98"/>
      <c r="B7" s="98"/>
      <c r="C7" s="98"/>
      <c r="D7" s="99"/>
      <c r="E7" s="99"/>
      <c r="F7" s="99"/>
      <c r="G7" s="99"/>
      <c r="H7" s="99"/>
      <c r="I7" s="99"/>
    </row>
    <row r="8" spans="1:9" ht="15.75">
      <c r="A8" s="100" t="s">
        <v>128</v>
      </c>
      <c r="B8" s="100" t="s">
        <v>129</v>
      </c>
      <c r="C8" s="100" t="s">
        <v>75</v>
      </c>
      <c r="D8" s="101"/>
      <c r="E8" s="101">
        <v>0</v>
      </c>
      <c r="F8" s="101">
        <v>0</v>
      </c>
      <c r="G8" s="101">
        <v>0</v>
      </c>
      <c r="H8" s="101">
        <v>0</v>
      </c>
      <c r="I8" s="101">
        <f>E8+F8+G8+H8</f>
        <v>0</v>
      </c>
    </row>
    <row r="9" spans="1:9" ht="15.75">
      <c r="A9" s="100"/>
      <c r="B9" s="100" t="s">
        <v>130</v>
      </c>
      <c r="C9" s="100" t="s">
        <v>75</v>
      </c>
      <c r="D9" s="101">
        <v>594000</v>
      </c>
      <c r="E9" s="101">
        <v>587160</v>
      </c>
      <c r="F9" s="101"/>
      <c r="G9" s="101"/>
      <c r="H9" s="101">
        <v>0</v>
      </c>
      <c r="I9" s="101">
        <f t="shared" ref="I9:I18" si="0">E9+F9+G9+H9</f>
        <v>587160</v>
      </c>
    </row>
    <row r="10" spans="1:9" ht="15.75">
      <c r="A10" s="100" t="s">
        <v>132</v>
      </c>
      <c r="B10" s="100" t="s">
        <v>133</v>
      </c>
      <c r="C10" s="100" t="s">
        <v>75</v>
      </c>
      <c r="D10" s="101">
        <v>8000</v>
      </c>
      <c r="E10" s="101"/>
      <c r="F10" s="101"/>
      <c r="G10" s="101"/>
      <c r="H10" s="101">
        <v>0</v>
      </c>
      <c r="I10" s="101">
        <f t="shared" si="0"/>
        <v>0</v>
      </c>
    </row>
    <row r="11" spans="1:9" ht="15.75">
      <c r="A11" s="100"/>
      <c r="B11" s="100" t="s">
        <v>79</v>
      </c>
      <c r="C11" s="100" t="s">
        <v>75</v>
      </c>
      <c r="D11" s="101">
        <v>346500</v>
      </c>
      <c r="E11" s="101">
        <v>215360.91</v>
      </c>
      <c r="F11" s="101"/>
      <c r="G11" s="101"/>
      <c r="H11" s="101">
        <v>0</v>
      </c>
      <c r="I11" s="101">
        <f t="shared" si="0"/>
        <v>215360.91</v>
      </c>
    </row>
    <row r="12" spans="1:9" ht="15.75">
      <c r="A12" s="100"/>
      <c r="B12" s="100" t="s">
        <v>93</v>
      </c>
      <c r="C12" s="100" t="s">
        <v>75</v>
      </c>
      <c r="D12" s="101">
        <v>220000</v>
      </c>
      <c r="E12" s="101">
        <v>161003.5</v>
      </c>
      <c r="F12" s="101"/>
      <c r="G12" s="101"/>
      <c r="H12" s="101">
        <v>0</v>
      </c>
      <c r="I12" s="101">
        <f t="shared" si="0"/>
        <v>161003.5</v>
      </c>
    </row>
    <row r="13" spans="1:9" ht="15.75">
      <c r="A13" s="100"/>
      <c r="B13" s="100" t="s">
        <v>134</v>
      </c>
      <c r="C13" s="100" t="s">
        <v>75</v>
      </c>
      <c r="D13" s="101">
        <v>0</v>
      </c>
      <c r="E13" s="101"/>
      <c r="F13" s="101"/>
      <c r="G13" s="101"/>
      <c r="H13" s="101">
        <v>0</v>
      </c>
      <c r="I13" s="101">
        <f t="shared" si="0"/>
        <v>0</v>
      </c>
    </row>
    <row r="14" spans="1:9" ht="15.75">
      <c r="A14" s="100" t="s">
        <v>135</v>
      </c>
      <c r="B14" s="100" t="s">
        <v>96</v>
      </c>
      <c r="C14" s="100" t="s">
        <v>75</v>
      </c>
      <c r="D14" s="101">
        <v>8400</v>
      </c>
      <c r="E14" s="101">
        <v>8400</v>
      </c>
      <c r="F14" s="101"/>
      <c r="G14" s="101"/>
      <c r="H14" s="101">
        <v>0</v>
      </c>
      <c r="I14" s="101">
        <f t="shared" si="0"/>
        <v>8400</v>
      </c>
    </row>
    <row r="15" spans="1:9" ht="15.75">
      <c r="A15" s="100"/>
      <c r="B15" s="100" t="s">
        <v>136</v>
      </c>
      <c r="C15" s="100" t="s">
        <v>75</v>
      </c>
      <c r="D15" s="101">
        <v>0</v>
      </c>
      <c r="E15" s="101"/>
      <c r="F15" s="101"/>
      <c r="G15" s="101"/>
      <c r="H15" s="101"/>
      <c r="I15" s="101"/>
    </row>
    <row r="16" spans="1:9" ht="15.75">
      <c r="A16" s="100" t="s">
        <v>137</v>
      </c>
      <c r="B16" s="100" t="s">
        <v>137</v>
      </c>
      <c r="C16" s="100" t="s">
        <v>75</v>
      </c>
      <c r="D16" s="101">
        <v>180000</v>
      </c>
      <c r="E16" s="101">
        <v>0</v>
      </c>
      <c r="F16" s="101">
        <v>30000</v>
      </c>
      <c r="G16" s="101"/>
      <c r="H16" s="101">
        <v>0</v>
      </c>
      <c r="I16" s="101">
        <f t="shared" si="0"/>
        <v>30000</v>
      </c>
    </row>
    <row r="17" spans="1:9" s="252" customFormat="1" ht="15.75">
      <c r="A17" s="271"/>
      <c r="B17" s="271"/>
      <c r="C17" s="271"/>
      <c r="D17" s="272"/>
      <c r="E17" s="272"/>
      <c r="F17" s="272"/>
      <c r="G17" s="272"/>
      <c r="H17" s="272"/>
      <c r="I17" s="272"/>
    </row>
    <row r="18" spans="1:9" ht="16.5" thickBot="1">
      <c r="A18" s="103"/>
      <c r="B18" s="103"/>
      <c r="C18" s="103"/>
      <c r="D18" s="104"/>
      <c r="E18" s="104">
        <f>SUM(E8:E16)</f>
        <v>971924.41</v>
      </c>
      <c r="F18" s="104">
        <f>SUM(F8:F16)</f>
        <v>30000</v>
      </c>
      <c r="G18" s="104">
        <f>SUM(G8:G16)</f>
        <v>0</v>
      </c>
      <c r="H18" s="104">
        <f>SUM(H8:H16)</f>
        <v>0</v>
      </c>
      <c r="I18" s="104">
        <f t="shared" si="0"/>
        <v>1001924.41</v>
      </c>
    </row>
    <row r="19" spans="1:9" ht="15" thickTop="1"/>
    <row r="20" spans="1:9" ht="21">
      <c r="A20" s="80"/>
      <c r="B20" s="77"/>
      <c r="C20" s="77"/>
      <c r="D20" s="77"/>
      <c r="E20" s="77"/>
      <c r="F20" s="77"/>
      <c r="G20" s="77"/>
      <c r="H20" s="130"/>
    </row>
    <row r="21" spans="1:9" ht="21">
      <c r="A21" s="80"/>
      <c r="B21" s="77"/>
      <c r="C21" s="77"/>
      <c r="D21" s="77"/>
      <c r="E21" s="77"/>
      <c r="F21" s="77"/>
      <c r="G21" s="77"/>
      <c r="H21" s="78"/>
    </row>
    <row r="22" spans="1:9" ht="21">
      <c r="A22" s="80"/>
      <c r="B22" s="77"/>
      <c r="C22" s="77"/>
      <c r="D22" s="77"/>
      <c r="E22" s="77"/>
      <c r="F22" s="77"/>
      <c r="G22" s="77"/>
      <c r="H22" s="78"/>
    </row>
    <row r="23" spans="1:9" ht="21">
      <c r="A23" s="80"/>
      <c r="B23" s="77"/>
      <c r="C23" s="77"/>
      <c r="D23" s="77"/>
      <c r="E23" s="77"/>
      <c r="F23" s="77"/>
      <c r="G23" s="77"/>
      <c r="H23" s="78"/>
    </row>
    <row r="24" spans="1:9" ht="21">
      <c r="A24" s="80"/>
      <c r="B24" s="77"/>
      <c r="C24" s="77"/>
      <c r="D24" s="77"/>
      <c r="E24" s="77"/>
      <c r="F24" s="77"/>
      <c r="G24" s="77"/>
      <c r="H24" s="78"/>
    </row>
    <row r="25" spans="1:9" ht="21">
      <c r="A25" s="80"/>
      <c r="B25" s="77"/>
      <c r="C25" s="77"/>
      <c r="D25" s="77"/>
      <c r="E25" s="77"/>
      <c r="F25" s="77"/>
      <c r="G25" s="77"/>
      <c r="H25" s="78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9"/>
  </sheetPr>
  <dimension ref="A1:H27"/>
  <sheetViews>
    <sheetView workbookViewId="0">
      <selection activeCell="E19" sqref="E19:F19"/>
    </sheetView>
  </sheetViews>
  <sheetFormatPr defaultColWidth="15.875" defaultRowHeight="14.25"/>
  <sheetData>
    <row r="1" spans="1:7" s="105" customFormat="1" ht="18.75">
      <c r="A1" s="312" t="s">
        <v>0</v>
      </c>
      <c r="B1" s="312"/>
      <c r="C1" s="312"/>
      <c r="D1" s="312"/>
      <c r="E1" s="312"/>
      <c r="F1" s="312"/>
      <c r="G1" s="312"/>
    </row>
    <row r="2" spans="1:7" s="105" customFormat="1" ht="18.75">
      <c r="A2" s="312" t="s">
        <v>156</v>
      </c>
      <c r="B2" s="312"/>
      <c r="C2" s="312"/>
      <c r="D2" s="312"/>
      <c r="E2" s="312"/>
      <c r="F2" s="312"/>
      <c r="G2" s="312"/>
    </row>
    <row r="3" spans="1:7" s="105" customFormat="1" ht="18.75">
      <c r="A3" s="312" t="s">
        <v>388</v>
      </c>
      <c r="B3" s="312"/>
      <c r="C3" s="312"/>
      <c r="D3" s="312"/>
      <c r="E3" s="312"/>
      <c r="F3" s="312"/>
      <c r="G3" s="312"/>
    </row>
    <row r="4" spans="1:7" s="105" customFormat="1" ht="18.75">
      <c r="A4" s="106"/>
      <c r="B4" s="106"/>
      <c r="C4" s="106"/>
      <c r="D4" s="107"/>
      <c r="E4" s="107"/>
      <c r="F4" s="107"/>
      <c r="G4" s="107"/>
    </row>
    <row r="5" spans="1:7" ht="15.75">
      <c r="A5" s="94" t="s">
        <v>123</v>
      </c>
      <c r="B5" s="94" t="s">
        <v>72</v>
      </c>
      <c r="C5" s="94" t="s">
        <v>69</v>
      </c>
      <c r="D5" s="95" t="s">
        <v>124</v>
      </c>
      <c r="E5" s="95" t="s">
        <v>76</v>
      </c>
      <c r="F5" s="95" t="s">
        <v>157</v>
      </c>
      <c r="G5" s="95" t="s">
        <v>45</v>
      </c>
    </row>
    <row r="6" spans="1:7" ht="15.75">
      <c r="A6" s="96"/>
      <c r="B6" s="96"/>
      <c r="C6" s="96"/>
      <c r="D6" s="97"/>
      <c r="E6" s="97" t="s">
        <v>158</v>
      </c>
      <c r="F6" s="97" t="s">
        <v>159</v>
      </c>
      <c r="G6" s="97"/>
    </row>
    <row r="7" spans="1:7" ht="15.75">
      <c r="A7" s="98"/>
      <c r="B7" s="98"/>
      <c r="C7" s="98"/>
      <c r="D7" s="99"/>
      <c r="E7" s="99"/>
      <c r="F7" s="99"/>
      <c r="G7" s="99"/>
    </row>
    <row r="8" spans="1:7" ht="15.75">
      <c r="A8" s="100" t="s">
        <v>128</v>
      </c>
      <c r="B8" s="100" t="s">
        <v>129</v>
      </c>
      <c r="C8" s="100" t="s">
        <v>75</v>
      </c>
      <c r="D8" s="101"/>
      <c r="E8" s="101"/>
      <c r="F8" s="101">
        <v>0</v>
      </c>
      <c r="G8" s="101">
        <f>E8+F8</f>
        <v>0</v>
      </c>
    </row>
    <row r="9" spans="1:7" ht="15.75">
      <c r="A9" s="100"/>
      <c r="B9" s="100" t="s">
        <v>130</v>
      </c>
      <c r="C9" s="100" t="s">
        <v>75</v>
      </c>
      <c r="D9" s="101">
        <v>620000</v>
      </c>
      <c r="E9" s="101">
        <v>610080</v>
      </c>
      <c r="F9" s="101">
        <v>0</v>
      </c>
      <c r="G9" s="101">
        <f t="shared" ref="G9:G17" si="0">E9+F9</f>
        <v>610080</v>
      </c>
    </row>
    <row r="10" spans="1:7" ht="15.75">
      <c r="A10" s="100" t="s">
        <v>132</v>
      </c>
      <c r="B10" s="100" t="s">
        <v>133</v>
      </c>
      <c r="C10" s="100" t="s">
        <v>75</v>
      </c>
      <c r="D10" s="101">
        <v>82000</v>
      </c>
      <c r="E10" s="101">
        <v>49510</v>
      </c>
      <c r="F10" s="101">
        <v>0</v>
      </c>
      <c r="G10" s="101">
        <f t="shared" si="0"/>
        <v>49510</v>
      </c>
    </row>
    <row r="11" spans="1:7" ht="15.75">
      <c r="A11" s="100"/>
      <c r="B11" s="100" t="s">
        <v>79</v>
      </c>
      <c r="C11" s="100" t="s">
        <v>75</v>
      </c>
      <c r="D11" s="101">
        <v>130000</v>
      </c>
      <c r="E11" s="101">
        <v>87000</v>
      </c>
      <c r="F11" s="101">
        <v>0</v>
      </c>
      <c r="G11" s="101">
        <f t="shared" si="0"/>
        <v>87000</v>
      </c>
    </row>
    <row r="12" spans="1:7" s="252" customFormat="1" ht="15.75">
      <c r="A12" s="100"/>
      <c r="B12" s="100" t="s">
        <v>79</v>
      </c>
      <c r="C12" s="100" t="s">
        <v>389</v>
      </c>
      <c r="D12" s="101">
        <v>60000</v>
      </c>
      <c r="E12" s="101"/>
      <c r="F12" s="101">
        <v>60000</v>
      </c>
      <c r="G12" s="101">
        <f t="shared" si="0"/>
        <v>60000</v>
      </c>
    </row>
    <row r="13" spans="1:7" ht="15.75">
      <c r="A13" s="100"/>
      <c r="B13" s="100" t="s">
        <v>93</v>
      </c>
      <c r="C13" s="100" t="s">
        <v>75</v>
      </c>
      <c r="D13" s="101">
        <v>35000</v>
      </c>
      <c r="E13" s="101">
        <v>16750</v>
      </c>
      <c r="F13" s="101">
        <v>0</v>
      </c>
      <c r="G13" s="101">
        <f t="shared" si="0"/>
        <v>16750</v>
      </c>
    </row>
    <row r="14" spans="1:7" ht="15.75">
      <c r="A14" s="100"/>
      <c r="B14" s="100" t="s">
        <v>134</v>
      </c>
      <c r="C14" s="100" t="s">
        <v>75</v>
      </c>
      <c r="D14" s="101">
        <v>0</v>
      </c>
      <c r="E14" s="101"/>
      <c r="F14" s="101">
        <v>0</v>
      </c>
      <c r="G14" s="101">
        <f t="shared" si="0"/>
        <v>0</v>
      </c>
    </row>
    <row r="15" spans="1:7" ht="15.75">
      <c r="A15" s="100" t="s">
        <v>135</v>
      </c>
      <c r="B15" s="100" t="s">
        <v>96</v>
      </c>
      <c r="C15" s="100" t="s">
        <v>75</v>
      </c>
      <c r="D15" s="101">
        <v>0</v>
      </c>
      <c r="E15" s="101">
        <v>0</v>
      </c>
      <c r="F15" s="101">
        <v>0</v>
      </c>
      <c r="G15" s="101">
        <f t="shared" si="0"/>
        <v>0</v>
      </c>
    </row>
    <row r="16" spans="1:7" ht="15.75">
      <c r="A16" s="100"/>
      <c r="B16" s="100" t="s">
        <v>136</v>
      </c>
      <c r="C16" s="100" t="s">
        <v>75</v>
      </c>
      <c r="D16" s="101">
        <v>0</v>
      </c>
      <c r="E16" s="101"/>
      <c r="F16" s="101"/>
      <c r="G16" s="101"/>
    </row>
    <row r="17" spans="1:8" ht="15.75">
      <c r="A17" s="100" t="s">
        <v>137</v>
      </c>
      <c r="B17" s="100" t="s">
        <v>137</v>
      </c>
      <c r="C17" s="100" t="s">
        <v>75</v>
      </c>
      <c r="D17" s="101">
        <v>0</v>
      </c>
      <c r="E17" s="101"/>
      <c r="F17" s="101">
        <v>0</v>
      </c>
      <c r="G17" s="101">
        <f t="shared" si="0"/>
        <v>0</v>
      </c>
    </row>
    <row r="18" spans="1:8" ht="15.75">
      <c r="A18" s="100"/>
      <c r="B18" s="100"/>
      <c r="C18" s="100"/>
      <c r="D18" s="102"/>
      <c r="E18" s="102"/>
      <c r="F18" s="102"/>
      <c r="G18" s="102"/>
    </row>
    <row r="19" spans="1:8" ht="16.5" thickBot="1">
      <c r="A19" s="103"/>
      <c r="B19" s="103"/>
      <c r="C19" s="103"/>
      <c r="D19" s="104">
        <f>SUM(D8:D18)</f>
        <v>927000</v>
      </c>
      <c r="E19" s="104">
        <f>SUM(E8:E18)</f>
        <v>763340</v>
      </c>
      <c r="F19" s="104">
        <f>SUM(F8:F18)</f>
        <v>60000</v>
      </c>
      <c r="G19" s="104">
        <f>E19+F19</f>
        <v>823340</v>
      </c>
    </row>
    <row r="20" spans="1:8" ht="15" thickTop="1"/>
    <row r="22" spans="1:8" ht="21">
      <c r="A22" s="80"/>
      <c r="B22" s="77"/>
      <c r="C22" s="77"/>
      <c r="D22" s="77"/>
      <c r="E22" s="77"/>
      <c r="F22" s="77"/>
      <c r="G22" s="77"/>
      <c r="H22" s="130"/>
    </row>
    <row r="23" spans="1:8" ht="21">
      <c r="A23" s="80"/>
      <c r="B23" s="77"/>
      <c r="C23" s="77"/>
      <c r="D23" s="77"/>
      <c r="E23" s="77"/>
      <c r="F23" s="77"/>
      <c r="G23" s="77"/>
      <c r="H23" s="78"/>
    </row>
    <row r="24" spans="1:8" ht="21">
      <c r="A24" s="80"/>
      <c r="B24" s="77"/>
      <c r="C24" s="77"/>
      <c r="D24" s="77"/>
      <c r="E24" s="77"/>
      <c r="F24" s="77"/>
      <c r="G24" s="77"/>
      <c r="H24" s="78"/>
    </row>
    <row r="25" spans="1:8" ht="21">
      <c r="A25" s="80"/>
      <c r="B25" s="77"/>
      <c r="C25" s="77"/>
      <c r="D25" s="77"/>
      <c r="E25" s="77"/>
      <c r="F25" s="77"/>
      <c r="G25" s="77"/>
      <c r="H25" s="78"/>
    </row>
    <row r="26" spans="1:8" ht="21">
      <c r="A26" s="80"/>
      <c r="B26" s="77"/>
      <c r="C26" s="77"/>
      <c r="D26" s="77"/>
      <c r="E26" s="77"/>
      <c r="F26" s="77"/>
      <c r="G26" s="77"/>
      <c r="H26" s="78"/>
    </row>
    <row r="27" spans="1:8" ht="21">
      <c r="A27" s="80"/>
      <c r="B27" s="77"/>
      <c r="C27" s="77"/>
      <c r="D27" s="77"/>
      <c r="E27" s="77"/>
      <c r="F27" s="77"/>
      <c r="G27" s="77"/>
      <c r="H27" s="78"/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9"/>
  </sheetPr>
  <dimension ref="A1:J27"/>
  <sheetViews>
    <sheetView workbookViewId="0">
      <selection activeCell="J15" sqref="J15:J16"/>
    </sheetView>
  </sheetViews>
  <sheetFormatPr defaultColWidth="11.75" defaultRowHeight="14.25"/>
  <sheetData>
    <row r="1" spans="1:10" s="105" customFormat="1" ht="18.75">
      <c r="A1" s="312" t="s">
        <v>0</v>
      </c>
      <c r="B1" s="312"/>
      <c r="C1" s="312"/>
      <c r="D1" s="312"/>
      <c r="E1" s="312"/>
      <c r="F1" s="312"/>
      <c r="G1" s="312"/>
      <c r="H1" s="312"/>
      <c r="I1" s="312"/>
      <c r="J1" s="312"/>
    </row>
    <row r="2" spans="1:10" s="105" customFormat="1" ht="18.75">
      <c r="A2" s="312" t="s">
        <v>160</v>
      </c>
      <c r="B2" s="312"/>
      <c r="C2" s="312"/>
      <c r="D2" s="312"/>
      <c r="E2" s="312"/>
      <c r="F2" s="312"/>
      <c r="G2" s="312"/>
      <c r="H2" s="312"/>
      <c r="I2" s="312"/>
      <c r="J2" s="312"/>
    </row>
    <row r="3" spans="1:10" s="105" customFormat="1" ht="18.75">
      <c r="A3" s="312" t="s">
        <v>388</v>
      </c>
      <c r="B3" s="312"/>
      <c r="C3" s="312"/>
      <c r="D3" s="312"/>
      <c r="E3" s="312"/>
      <c r="F3" s="312"/>
      <c r="G3" s="312"/>
      <c r="H3" s="312"/>
      <c r="I3" s="312"/>
      <c r="J3" s="312"/>
    </row>
    <row r="4" spans="1:10" s="105" customFormat="1" ht="18.75">
      <c r="A4" s="106"/>
      <c r="B4" s="106"/>
      <c r="C4" s="106"/>
      <c r="D4" s="107"/>
      <c r="E4" s="107"/>
      <c r="F4" s="107"/>
      <c r="G4" s="107"/>
      <c r="H4" s="107"/>
      <c r="I4" s="107"/>
      <c r="J4" s="107"/>
    </row>
    <row r="5" spans="1:10" ht="15.75">
      <c r="A5" s="94" t="s">
        <v>123</v>
      </c>
      <c r="B5" s="94" t="s">
        <v>72</v>
      </c>
      <c r="C5" s="94" t="s">
        <v>69</v>
      </c>
      <c r="D5" s="95" t="s">
        <v>124</v>
      </c>
      <c r="E5" s="95" t="s">
        <v>76</v>
      </c>
      <c r="F5" s="95" t="s">
        <v>161</v>
      </c>
      <c r="G5" s="95" t="s">
        <v>71</v>
      </c>
      <c r="H5" s="95" t="s">
        <v>162</v>
      </c>
      <c r="I5" s="95" t="s">
        <v>163</v>
      </c>
      <c r="J5" s="95" t="s">
        <v>45</v>
      </c>
    </row>
    <row r="6" spans="1:10" ht="15.75">
      <c r="A6" s="96"/>
      <c r="B6" s="96"/>
      <c r="C6" s="96"/>
      <c r="D6" s="97"/>
      <c r="E6" s="97" t="s">
        <v>99</v>
      </c>
      <c r="F6" s="97"/>
      <c r="G6" s="97" t="s">
        <v>164</v>
      </c>
      <c r="H6" s="97" t="s">
        <v>165</v>
      </c>
      <c r="I6" s="97" t="s">
        <v>166</v>
      </c>
      <c r="J6" s="97"/>
    </row>
    <row r="7" spans="1:10" ht="15.75">
      <c r="A7" s="98"/>
      <c r="B7" s="98"/>
      <c r="C7" s="98"/>
      <c r="D7" s="99"/>
      <c r="E7" s="99"/>
      <c r="F7" s="99"/>
      <c r="G7" s="99"/>
      <c r="H7" s="99"/>
      <c r="I7" s="99"/>
      <c r="J7" s="99"/>
    </row>
    <row r="8" spans="1:10" ht="15.75">
      <c r="A8" s="100" t="s">
        <v>128</v>
      </c>
      <c r="B8" s="100" t="s">
        <v>129</v>
      </c>
      <c r="C8" s="100" t="s">
        <v>75</v>
      </c>
      <c r="D8" s="101"/>
      <c r="E8" s="101">
        <v>0</v>
      </c>
      <c r="F8" s="101">
        <f t="shared" ref="F8:I8" si="0">SUM(E8)</f>
        <v>0</v>
      </c>
      <c r="G8" s="101">
        <f t="shared" si="0"/>
        <v>0</v>
      </c>
      <c r="H8" s="101">
        <f t="shared" si="0"/>
        <v>0</v>
      </c>
      <c r="I8" s="101">
        <f t="shared" si="0"/>
        <v>0</v>
      </c>
      <c r="J8" s="101">
        <f>SUM(E8:I8)</f>
        <v>0</v>
      </c>
    </row>
    <row r="9" spans="1:10" ht="15.75">
      <c r="A9" s="100"/>
      <c r="B9" s="100" t="s">
        <v>130</v>
      </c>
      <c r="C9" s="100" t="s">
        <v>75</v>
      </c>
      <c r="D9" s="101">
        <v>990120</v>
      </c>
      <c r="E9" s="101">
        <v>968100</v>
      </c>
      <c r="F9" s="101"/>
      <c r="G9" s="101"/>
      <c r="H9" s="101"/>
      <c r="I9" s="101"/>
      <c r="J9" s="101">
        <f t="shared" ref="J9:J19" si="1">SUM(E9:I9)</f>
        <v>968100</v>
      </c>
    </row>
    <row r="10" spans="1:10" ht="15.75">
      <c r="A10" s="100" t="s">
        <v>132</v>
      </c>
      <c r="B10" s="100" t="s">
        <v>133</v>
      </c>
      <c r="C10" s="100" t="s">
        <v>75</v>
      </c>
      <c r="D10" s="101">
        <v>57000</v>
      </c>
      <c r="E10" s="101">
        <v>42000</v>
      </c>
      <c r="F10" s="101"/>
      <c r="G10" s="101"/>
      <c r="H10" s="101"/>
      <c r="I10" s="101"/>
      <c r="J10" s="101">
        <f t="shared" si="1"/>
        <v>42000</v>
      </c>
    </row>
    <row r="11" spans="1:10" s="275" customFormat="1" ht="15.75">
      <c r="A11" s="273"/>
      <c r="B11" s="273" t="s">
        <v>79</v>
      </c>
      <c r="C11" s="273" t="s">
        <v>75</v>
      </c>
      <c r="D11" s="274">
        <v>720000</v>
      </c>
      <c r="E11" s="274">
        <v>161860</v>
      </c>
      <c r="F11" s="274"/>
      <c r="G11" s="274"/>
      <c r="H11" s="274">
        <v>428033</v>
      </c>
      <c r="I11" s="274"/>
      <c r="J11" s="274">
        <f t="shared" si="1"/>
        <v>589893</v>
      </c>
    </row>
    <row r="12" spans="1:10" ht="15.75">
      <c r="A12" s="100"/>
      <c r="B12" s="100" t="s">
        <v>93</v>
      </c>
      <c r="C12" s="100" t="s">
        <v>75</v>
      </c>
      <c r="D12" s="101">
        <v>221200</v>
      </c>
      <c r="E12" s="101">
        <v>31900</v>
      </c>
      <c r="F12" s="101"/>
      <c r="G12" s="101"/>
      <c r="H12" s="101"/>
      <c r="I12" s="101"/>
      <c r="J12" s="101">
        <f t="shared" si="1"/>
        <v>31900</v>
      </c>
    </row>
    <row r="13" spans="1:10" ht="15.75">
      <c r="A13" s="100"/>
      <c r="B13" s="100" t="s">
        <v>134</v>
      </c>
      <c r="C13" s="100" t="s">
        <v>75</v>
      </c>
      <c r="D13" s="101"/>
      <c r="E13" s="101"/>
      <c r="F13" s="101"/>
      <c r="G13" s="101"/>
      <c r="H13" s="101"/>
      <c r="I13" s="101"/>
      <c r="J13" s="101">
        <f t="shared" si="1"/>
        <v>0</v>
      </c>
    </row>
    <row r="14" spans="1:10" ht="15.75">
      <c r="A14" s="100" t="s">
        <v>135</v>
      </c>
      <c r="B14" s="100" t="s">
        <v>96</v>
      </c>
      <c r="C14" s="100" t="s">
        <v>75</v>
      </c>
      <c r="D14" s="101">
        <v>17100</v>
      </c>
      <c r="E14" s="101">
        <v>11100</v>
      </c>
      <c r="F14" s="101"/>
      <c r="G14" s="101"/>
      <c r="H14" s="101"/>
      <c r="I14" s="101"/>
      <c r="J14" s="101">
        <f t="shared" si="1"/>
        <v>11100</v>
      </c>
    </row>
    <row r="15" spans="1:10" ht="15.75">
      <c r="A15" s="100"/>
      <c r="B15" s="100" t="s">
        <v>136</v>
      </c>
      <c r="C15" s="100" t="s">
        <v>75</v>
      </c>
      <c r="D15" s="101">
        <v>9947112.2699999996</v>
      </c>
      <c r="E15" s="101"/>
      <c r="F15" s="101">
        <v>9785066.5500000007</v>
      </c>
      <c r="G15" s="101"/>
      <c r="H15" s="101"/>
      <c r="I15" s="101"/>
      <c r="J15" s="101">
        <f t="shared" si="1"/>
        <v>9785066.5500000007</v>
      </c>
    </row>
    <row r="16" spans="1:10" s="252" customFormat="1" ht="15.75">
      <c r="A16" s="100"/>
      <c r="B16" s="100" t="s">
        <v>136</v>
      </c>
      <c r="C16" s="100" t="s">
        <v>389</v>
      </c>
      <c r="D16" s="101">
        <v>2779000</v>
      </c>
      <c r="E16" s="101"/>
      <c r="F16" s="101">
        <v>2779000</v>
      </c>
      <c r="G16" s="101"/>
      <c r="H16" s="101"/>
      <c r="I16" s="101"/>
      <c r="J16" s="101">
        <f t="shared" si="1"/>
        <v>2779000</v>
      </c>
    </row>
    <row r="17" spans="1:10" ht="15.75">
      <c r="A17" s="100" t="s">
        <v>137</v>
      </c>
      <c r="B17" s="100" t="s">
        <v>137</v>
      </c>
      <c r="C17" s="100" t="s">
        <v>75</v>
      </c>
      <c r="D17" s="101">
        <v>418387.73</v>
      </c>
      <c r="E17" s="101"/>
      <c r="F17" s="101">
        <v>418387.73</v>
      </c>
      <c r="G17" s="101"/>
      <c r="H17" s="101"/>
      <c r="I17" s="101"/>
      <c r="J17" s="101">
        <f t="shared" si="1"/>
        <v>418387.73</v>
      </c>
    </row>
    <row r="18" spans="1:10" ht="15.75">
      <c r="A18" s="100"/>
      <c r="B18" s="100"/>
      <c r="C18" s="100"/>
      <c r="D18" s="102"/>
      <c r="E18" s="102"/>
      <c r="F18" s="102"/>
      <c r="G18" s="102"/>
      <c r="H18" s="102"/>
      <c r="I18" s="102"/>
      <c r="J18" s="102"/>
    </row>
    <row r="19" spans="1:10" ht="16.5" thickBot="1">
      <c r="A19" s="103"/>
      <c r="B19" s="103"/>
      <c r="C19" s="103"/>
      <c r="D19" s="104">
        <f>SUM(D8:D18)</f>
        <v>15149920</v>
      </c>
      <c r="E19" s="104">
        <f t="shared" ref="E19:I19" si="2">SUM(E8:E18)</f>
        <v>1214960</v>
      </c>
      <c r="F19" s="104">
        <f t="shared" si="2"/>
        <v>12982454.280000001</v>
      </c>
      <c r="G19" s="104">
        <f t="shared" si="2"/>
        <v>0</v>
      </c>
      <c r="H19" s="104">
        <f t="shared" si="2"/>
        <v>428033</v>
      </c>
      <c r="I19" s="104">
        <f t="shared" si="2"/>
        <v>0</v>
      </c>
      <c r="J19" s="104">
        <f t="shared" si="1"/>
        <v>14625447.280000001</v>
      </c>
    </row>
    <row r="20" spans="1:10" ht="15" thickTop="1"/>
    <row r="22" spans="1:10" ht="21">
      <c r="A22" s="80"/>
      <c r="B22" s="77"/>
      <c r="C22" s="77"/>
      <c r="D22" s="77"/>
      <c r="E22" s="77"/>
      <c r="F22" s="77"/>
      <c r="G22" s="77"/>
      <c r="H22" s="130"/>
    </row>
    <row r="23" spans="1:10" ht="21">
      <c r="A23" s="80"/>
      <c r="B23" s="77"/>
      <c r="C23" s="77"/>
      <c r="D23" s="77"/>
      <c r="E23" s="77"/>
      <c r="F23" s="77"/>
      <c r="G23" s="77"/>
      <c r="H23" s="78"/>
    </row>
    <row r="24" spans="1:10" ht="21">
      <c r="A24" s="80"/>
      <c r="B24" s="77"/>
      <c r="C24" s="77"/>
      <c r="D24" s="77"/>
      <c r="E24" s="77"/>
      <c r="F24" s="77"/>
      <c r="G24" s="77"/>
      <c r="H24" s="78"/>
    </row>
    <row r="25" spans="1:10" ht="21">
      <c r="A25" s="80"/>
      <c r="B25" s="77"/>
      <c r="C25" s="77"/>
      <c r="D25" s="77"/>
      <c r="E25" s="77"/>
      <c r="F25" s="77"/>
      <c r="G25" s="77"/>
      <c r="H25" s="78"/>
    </row>
    <row r="26" spans="1:10" ht="21">
      <c r="A26" s="80"/>
      <c r="B26" s="77"/>
      <c r="C26" s="77"/>
      <c r="D26" s="77"/>
      <c r="E26" s="77"/>
      <c r="F26" s="77"/>
      <c r="G26" s="77"/>
      <c r="H26" s="78"/>
    </row>
    <row r="27" spans="1:10" ht="21">
      <c r="A27" s="80"/>
      <c r="B27" s="77"/>
      <c r="C27" s="77"/>
      <c r="D27" s="77"/>
      <c r="E27" s="77"/>
      <c r="F27" s="77"/>
      <c r="G27" s="77"/>
      <c r="H27" s="78"/>
    </row>
  </sheetData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9"/>
  </sheetPr>
  <dimension ref="A1:I23"/>
  <sheetViews>
    <sheetView workbookViewId="0">
      <selection activeCell="G17" sqref="G17"/>
    </sheetView>
  </sheetViews>
  <sheetFormatPr defaultColWidth="13.125" defaultRowHeight="14.25"/>
  <sheetData>
    <row r="1" spans="1:9" ht="21">
      <c r="A1" s="294" t="s">
        <v>0</v>
      </c>
      <c r="B1" s="294"/>
      <c r="C1" s="294"/>
      <c r="D1" s="294"/>
      <c r="E1" s="294"/>
      <c r="F1" s="294"/>
      <c r="G1" s="294"/>
      <c r="H1" s="294"/>
      <c r="I1" s="294"/>
    </row>
    <row r="2" spans="1:9" ht="21">
      <c r="A2" s="294" t="s">
        <v>206</v>
      </c>
      <c r="B2" s="294"/>
      <c r="C2" s="294"/>
      <c r="D2" s="294"/>
      <c r="E2" s="294"/>
      <c r="F2" s="294"/>
      <c r="G2" s="294"/>
      <c r="H2" s="294"/>
      <c r="I2" s="294"/>
    </row>
    <row r="3" spans="1:9" ht="21">
      <c r="A3" s="294" t="s">
        <v>388</v>
      </c>
      <c r="B3" s="294"/>
      <c r="C3" s="294"/>
      <c r="D3" s="294"/>
      <c r="E3" s="294"/>
      <c r="F3" s="294"/>
      <c r="G3" s="294"/>
      <c r="H3" s="294"/>
      <c r="I3" s="294"/>
    </row>
    <row r="4" spans="1:9" ht="21">
      <c r="A4" s="1"/>
      <c r="B4" s="1"/>
      <c r="C4" s="1"/>
      <c r="D4" s="2"/>
      <c r="E4" s="2"/>
      <c r="F4" s="2"/>
      <c r="G4" s="2"/>
      <c r="H4" s="2"/>
      <c r="I4" s="1"/>
    </row>
    <row r="5" spans="1:9" ht="15.75">
      <c r="A5" s="94" t="s">
        <v>123</v>
      </c>
      <c r="B5" s="94" t="s">
        <v>72</v>
      </c>
      <c r="C5" s="94" t="s">
        <v>69</v>
      </c>
      <c r="D5" s="95" t="s">
        <v>124</v>
      </c>
      <c r="E5" s="95" t="s">
        <v>76</v>
      </c>
      <c r="F5" s="95" t="s">
        <v>207</v>
      </c>
      <c r="G5" s="95" t="s">
        <v>208</v>
      </c>
      <c r="H5" s="95" t="s">
        <v>209</v>
      </c>
      <c r="I5" s="94" t="s">
        <v>45</v>
      </c>
    </row>
    <row r="6" spans="1:9" ht="15.75">
      <c r="A6" s="96"/>
      <c r="B6" s="96"/>
      <c r="C6" s="96"/>
      <c r="D6" s="97"/>
      <c r="E6" s="97" t="s">
        <v>210</v>
      </c>
      <c r="F6" s="97" t="s">
        <v>211</v>
      </c>
      <c r="G6" s="97" t="s">
        <v>212</v>
      </c>
      <c r="H6" s="97" t="s">
        <v>213</v>
      </c>
      <c r="I6" s="96"/>
    </row>
    <row r="7" spans="1:9" ht="15.75">
      <c r="A7" s="98"/>
      <c r="B7" s="98"/>
      <c r="C7" s="98"/>
      <c r="D7" s="99"/>
      <c r="E7" s="99"/>
      <c r="F7" s="99"/>
      <c r="G7" s="99"/>
      <c r="H7" s="99"/>
      <c r="I7" s="98"/>
    </row>
    <row r="8" spans="1:9" ht="15.75">
      <c r="A8" s="100" t="s">
        <v>128</v>
      </c>
      <c r="B8" s="100" t="s">
        <v>129</v>
      </c>
      <c r="C8" s="100" t="s">
        <v>75</v>
      </c>
      <c r="D8" s="101">
        <v>0</v>
      </c>
      <c r="E8" s="101">
        <v>0</v>
      </c>
      <c r="F8" s="101">
        <v>0</v>
      </c>
      <c r="G8" s="101">
        <v>0</v>
      </c>
      <c r="H8" s="101">
        <v>0</v>
      </c>
      <c r="I8" s="112">
        <f>E8+F8+G8+H8</f>
        <v>0</v>
      </c>
    </row>
    <row r="9" spans="1:9" ht="15.75">
      <c r="A9" s="100"/>
      <c r="B9" s="100" t="s">
        <v>130</v>
      </c>
      <c r="C9" s="100" t="s">
        <v>75</v>
      </c>
      <c r="D9" s="101">
        <v>0</v>
      </c>
      <c r="E9" s="101">
        <v>0</v>
      </c>
      <c r="F9" s="101">
        <v>0</v>
      </c>
      <c r="G9" s="101">
        <v>0</v>
      </c>
      <c r="H9" s="101">
        <v>0</v>
      </c>
      <c r="I9" s="112">
        <f t="shared" ref="I9:I18" si="0">E9+F9+G9+H9</f>
        <v>0</v>
      </c>
    </row>
    <row r="10" spans="1:9" ht="15.75">
      <c r="A10" s="100" t="s">
        <v>132</v>
      </c>
      <c r="B10" s="100" t="s">
        <v>133</v>
      </c>
      <c r="C10" s="100" t="s">
        <v>75</v>
      </c>
      <c r="D10" s="101">
        <v>0</v>
      </c>
      <c r="E10" s="101">
        <v>0</v>
      </c>
      <c r="F10" s="101">
        <v>0</v>
      </c>
      <c r="G10" s="101">
        <v>0</v>
      </c>
      <c r="H10" s="101">
        <v>0</v>
      </c>
      <c r="I10" s="112">
        <f t="shared" si="0"/>
        <v>0</v>
      </c>
    </row>
    <row r="11" spans="1:9" ht="15.75">
      <c r="A11" s="100"/>
      <c r="B11" s="100" t="s">
        <v>79</v>
      </c>
      <c r="C11" s="100" t="s">
        <v>75</v>
      </c>
      <c r="D11" s="101">
        <v>575000</v>
      </c>
      <c r="E11" s="101">
        <v>0</v>
      </c>
      <c r="F11" s="101">
        <v>500942</v>
      </c>
      <c r="G11" s="101">
        <v>0</v>
      </c>
      <c r="H11" s="101">
        <v>0</v>
      </c>
      <c r="I11" s="112">
        <f t="shared" si="0"/>
        <v>500942</v>
      </c>
    </row>
    <row r="12" spans="1:9" ht="15.75">
      <c r="A12" s="100"/>
      <c r="B12" s="100" t="s">
        <v>93</v>
      </c>
      <c r="C12" s="100" t="s">
        <v>75</v>
      </c>
      <c r="D12" s="101">
        <v>0</v>
      </c>
      <c r="E12" s="101">
        <v>0</v>
      </c>
      <c r="F12" s="101">
        <v>0</v>
      </c>
      <c r="G12" s="101">
        <v>0</v>
      </c>
      <c r="H12" s="101">
        <v>0</v>
      </c>
      <c r="I12" s="112">
        <f t="shared" si="0"/>
        <v>0</v>
      </c>
    </row>
    <row r="13" spans="1:9" ht="15.75">
      <c r="A13" s="100"/>
      <c r="B13" s="100" t="s">
        <v>134</v>
      </c>
      <c r="C13" s="100" t="s">
        <v>75</v>
      </c>
      <c r="D13" s="101">
        <v>0</v>
      </c>
      <c r="E13" s="101">
        <v>0</v>
      </c>
      <c r="F13" s="101">
        <v>0</v>
      </c>
      <c r="G13" s="101">
        <v>0</v>
      </c>
      <c r="H13" s="101">
        <v>0</v>
      </c>
      <c r="I13" s="112">
        <f t="shared" si="0"/>
        <v>0</v>
      </c>
    </row>
    <row r="14" spans="1:9" ht="15.75">
      <c r="A14" s="100" t="s">
        <v>135</v>
      </c>
      <c r="B14" s="100" t="s">
        <v>96</v>
      </c>
      <c r="C14" s="100" t="s">
        <v>75</v>
      </c>
      <c r="D14" s="101">
        <v>0</v>
      </c>
      <c r="E14" s="101">
        <v>0</v>
      </c>
      <c r="F14" s="101">
        <v>0</v>
      </c>
      <c r="G14" s="101">
        <v>0</v>
      </c>
      <c r="H14" s="101">
        <v>0</v>
      </c>
      <c r="I14" s="112">
        <f t="shared" si="0"/>
        <v>0</v>
      </c>
    </row>
    <row r="15" spans="1:9" ht="15.75">
      <c r="A15" s="100"/>
      <c r="B15" s="100" t="s">
        <v>136</v>
      </c>
      <c r="C15" s="100" t="s">
        <v>75</v>
      </c>
      <c r="D15" s="101">
        <v>0</v>
      </c>
      <c r="E15" s="101"/>
      <c r="F15" s="101"/>
      <c r="G15" s="101"/>
      <c r="H15" s="101"/>
      <c r="I15" s="112"/>
    </row>
    <row r="16" spans="1:9" ht="15.75">
      <c r="A16" s="100" t="s">
        <v>137</v>
      </c>
      <c r="B16" s="100" t="s">
        <v>137</v>
      </c>
      <c r="C16" s="100" t="s">
        <v>75</v>
      </c>
      <c r="D16" s="101">
        <v>194000</v>
      </c>
      <c r="E16" s="101">
        <v>0</v>
      </c>
      <c r="F16" s="101"/>
      <c r="G16" s="101">
        <v>0</v>
      </c>
      <c r="H16" s="101">
        <v>0</v>
      </c>
      <c r="I16" s="112">
        <f t="shared" si="0"/>
        <v>0</v>
      </c>
    </row>
    <row r="17" spans="1:9" ht="15.75">
      <c r="A17" s="100"/>
      <c r="B17" s="100"/>
      <c r="C17" s="100"/>
      <c r="D17" s="102"/>
      <c r="E17" s="102"/>
      <c r="F17" s="102"/>
      <c r="G17" s="102"/>
      <c r="H17" s="102"/>
      <c r="I17" s="113"/>
    </row>
    <row r="18" spans="1:9" ht="16.5" thickBot="1">
      <c r="A18" s="103"/>
      <c r="B18" s="103"/>
      <c r="C18" s="103"/>
      <c r="D18" s="104">
        <f>SUM(D8:D17)</f>
        <v>769000</v>
      </c>
      <c r="E18" s="104">
        <f t="shared" ref="E18:H18" si="1">SUM(E8:E17)</f>
        <v>0</v>
      </c>
      <c r="F18" s="104">
        <f t="shared" si="1"/>
        <v>500942</v>
      </c>
      <c r="G18" s="104">
        <f t="shared" si="1"/>
        <v>0</v>
      </c>
      <c r="H18" s="104">
        <f t="shared" si="1"/>
        <v>0</v>
      </c>
      <c r="I18" s="114">
        <f t="shared" si="0"/>
        <v>500942</v>
      </c>
    </row>
    <row r="19" spans="1:9" ht="15" thickTop="1"/>
    <row r="21" spans="1:9" ht="21">
      <c r="A21" s="80"/>
      <c r="B21" s="77"/>
      <c r="C21" s="77"/>
      <c r="D21" s="77"/>
      <c r="E21" s="77"/>
      <c r="F21" s="77"/>
      <c r="G21" s="77"/>
      <c r="H21" s="130"/>
    </row>
    <row r="22" spans="1:9" ht="21">
      <c r="A22" s="80"/>
      <c r="B22" s="77"/>
      <c r="C22" s="77"/>
      <c r="D22" s="77"/>
      <c r="E22" s="77"/>
      <c r="F22" s="77"/>
      <c r="G22" s="77"/>
      <c r="H22" s="78"/>
    </row>
    <row r="23" spans="1:9" ht="21">
      <c r="A23" s="80"/>
      <c r="B23" s="77"/>
      <c r="C23" s="77"/>
      <c r="D23" s="77"/>
      <c r="E23" s="77"/>
      <c r="F23" s="77"/>
      <c r="G23" s="77"/>
      <c r="H23" s="78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9"/>
  </sheetPr>
  <dimension ref="A1:H28"/>
  <sheetViews>
    <sheetView workbookViewId="0">
      <selection activeCell="E16" sqref="E16"/>
    </sheetView>
  </sheetViews>
  <sheetFormatPr defaultColWidth="15.125" defaultRowHeight="14.25"/>
  <cols>
    <col min="5" max="5" width="19.625" customWidth="1"/>
  </cols>
  <sheetData>
    <row r="1" spans="1:7" s="105" customFormat="1" ht="18.75">
      <c r="A1" s="312" t="s">
        <v>0</v>
      </c>
      <c r="B1" s="312"/>
      <c r="C1" s="312"/>
      <c r="D1" s="312"/>
      <c r="E1" s="312"/>
      <c r="F1" s="312"/>
      <c r="G1" s="312"/>
    </row>
    <row r="2" spans="1:7" s="105" customFormat="1" ht="18.75">
      <c r="A2" s="312" t="s">
        <v>390</v>
      </c>
      <c r="B2" s="312"/>
      <c r="C2" s="312"/>
      <c r="D2" s="312"/>
      <c r="E2" s="312"/>
      <c r="F2" s="312"/>
      <c r="G2" s="312"/>
    </row>
    <row r="3" spans="1:7" s="105" customFormat="1" ht="18.75">
      <c r="A3" s="312" t="s">
        <v>274</v>
      </c>
      <c r="B3" s="312"/>
      <c r="C3" s="312"/>
      <c r="D3" s="312"/>
      <c r="E3" s="312"/>
      <c r="F3" s="312"/>
      <c r="G3" s="312"/>
    </row>
    <row r="4" spans="1:7" s="105" customFormat="1" ht="18.75">
      <c r="A4" s="106"/>
      <c r="B4" s="106"/>
      <c r="C4" s="106"/>
      <c r="D4" s="107"/>
      <c r="E4" s="107"/>
      <c r="F4" s="107"/>
      <c r="G4" s="106"/>
    </row>
    <row r="5" spans="1:7" ht="15.75">
      <c r="A5" s="94" t="s">
        <v>123</v>
      </c>
      <c r="B5" s="94" t="s">
        <v>72</v>
      </c>
      <c r="C5" s="94" t="s">
        <v>69</v>
      </c>
      <c r="D5" s="95" t="s">
        <v>124</v>
      </c>
      <c r="E5" s="95" t="s">
        <v>167</v>
      </c>
      <c r="F5" s="95" t="s">
        <v>168</v>
      </c>
      <c r="G5" s="94" t="s">
        <v>45</v>
      </c>
    </row>
    <row r="6" spans="1:7" ht="15.75">
      <c r="A6" s="96"/>
      <c r="B6" s="96"/>
      <c r="C6" s="96"/>
      <c r="D6" s="97"/>
      <c r="E6" s="97" t="s">
        <v>169</v>
      </c>
      <c r="F6" s="97" t="s">
        <v>170</v>
      </c>
      <c r="G6" s="96"/>
    </row>
    <row r="7" spans="1:7" ht="15.75">
      <c r="A7" s="98"/>
      <c r="B7" s="98"/>
      <c r="C7" s="98"/>
      <c r="D7" s="99"/>
      <c r="E7" s="99"/>
      <c r="F7" s="99"/>
      <c r="G7" s="98"/>
    </row>
    <row r="8" spans="1:7" ht="15.75">
      <c r="A8" s="100" t="s">
        <v>128</v>
      </c>
      <c r="B8" s="100" t="s">
        <v>129</v>
      </c>
      <c r="C8" s="100" t="s">
        <v>75</v>
      </c>
      <c r="D8" s="101"/>
      <c r="E8" s="101">
        <v>0</v>
      </c>
      <c r="F8" s="101">
        <v>0</v>
      </c>
      <c r="G8" s="112">
        <f>E8+F8</f>
        <v>0</v>
      </c>
    </row>
    <row r="9" spans="1:7" ht="15.75">
      <c r="A9" s="100"/>
      <c r="B9" s="100" t="s">
        <v>130</v>
      </c>
      <c r="C9" s="100" t="s">
        <v>75</v>
      </c>
      <c r="D9" s="101">
        <v>0</v>
      </c>
      <c r="E9" s="101">
        <v>0</v>
      </c>
      <c r="F9" s="101">
        <v>0</v>
      </c>
      <c r="G9" s="112">
        <f t="shared" ref="G9:G20" si="0">E9+F9</f>
        <v>0</v>
      </c>
    </row>
    <row r="10" spans="1:7" ht="15.75">
      <c r="A10" s="100" t="s">
        <v>132</v>
      </c>
      <c r="B10" s="100" t="s">
        <v>133</v>
      </c>
      <c r="C10" s="100" t="s">
        <v>75</v>
      </c>
      <c r="D10" s="101">
        <v>0</v>
      </c>
      <c r="E10" s="101">
        <v>0</v>
      </c>
      <c r="F10" s="101">
        <v>0</v>
      </c>
      <c r="G10" s="112">
        <f t="shared" si="0"/>
        <v>0</v>
      </c>
    </row>
    <row r="11" spans="1:7" ht="15.75">
      <c r="A11" s="100"/>
      <c r="B11" s="100" t="s">
        <v>79</v>
      </c>
      <c r="C11" s="100" t="s">
        <v>75</v>
      </c>
      <c r="D11" s="101">
        <v>495000</v>
      </c>
      <c r="E11" s="101">
        <v>0</v>
      </c>
      <c r="F11" s="101">
        <v>234650</v>
      </c>
      <c r="G11" s="112">
        <f t="shared" si="0"/>
        <v>234650</v>
      </c>
    </row>
    <row r="12" spans="1:7" ht="15.75">
      <c r="A12" s="100"/>
      <c r="B12" s="100" t="s">
        <v>79</v>
      </c>
      <c r="C12" s="100" t="s">
        <v>131</v>
      </c>
      <c r="D12" s="101">
        <v>12500</v>
      </c>
      <c r="E12" s="101"/>
      <c r="F12" s="101">
        <v>12500</v>
      </c>
      <c r="G12" s="112"/>
    </row>
    <row r="13" spans="1:7" ht="15.75">
      <c r="A13" s="100"/>
      <c r="B13" s="100" t="s">
        <v>93</v>
      </c>
      <c r="C13" s="100" t="s">
        <v>75</v>
      </c>
      <c r="D13" s="101">
        <v>0</v>
      </c>
      <c r="E13" s="101">
        <v>0</v>
      </c>
      <c r="F13" s="101">
        <v>0</v>
      </c>
      <c r="G13" s="112">
        <f t="shared" si="0"/>
        <v>0</v>
      </c>
    </row>
    <row r="14" spans="1:7" ht="15.75">
      <c r="A14" s="100"/>
      <c r="B14" s="100" t="s">
        <v>134</v>
      </c>
      <c r="C14" s="100" t="s">
        <v>75</v>
      </c>
      <c r="D14" s="101">
        <v>0</v>
      </c>
      <c r="E14" s="101">
        <v>0</v>
      </c>
      <c r="F14" s="101">
        <v>0</v>
      </c>
      <c r="G14" s="112">
        <f t="shared" si="0"/>
        <v>0</v>
      </c>
    </row>
    <row r="15" spans="1:7" ht="15.75">
      <c r="A15" s="100" t="s">
        <v>135</v>
      </c>
      <c r="B15" s="100" t="s">
        <v>96</v>
      </c>
      <c r="C15" s="100" t="s">
        <v>75</v>
      </c>
      <c r="D15" s="101">
        <v>0</v>
      </c>
      <c r="E15" s="101"/>
      <c r="F15" s="101"/>
      <c r="G15" s="112"/>
    </row>
    <row r="16" spans="1:7" ht="15.75">
      <c r="A16" s="100"/>
      <c r="B16" s="100" t="s">
        <v>136</v>
      </c>
      <c r="C16" s="100" t="s">
        <v>75</v>
      </c>
      <c r="D16" s="101">
        <v>0</v>
      </c>
      <c r="E16" s="101"/>
      <c r="F16" s="101"/>
      <c r="G16" s="112"/>
    </row>
    <row r="17" spans="1:8" ht="15.75">
      <c r="A17" s="100" t="s">
        <v>137</v>
      </c>
      <c r="B17" s="100" t="s">
        <v>137</v>
      </c>
      <c r="C17" s="100" t="s">
        <v>75</v>
      </c>
      <c r="D17" s="101">
        <v>20000</v>
      </c>
      <c r="E17" s="101"/>
      <c r="F17" s="101"/>
      <c r="G17" s="112"/>
    </row>
    <row r="18" spans="1:8" ht="15.75">
      <c r="A18" s="100"/>
      <c r="B18" s="100"/>
      <c r="C18" s="100"/>
      <c r="D18" s="102" t="s">
        <v>391</v>
      </c>
      <c r="E18" s="101"/>
      <c r="F18" s="101"/>
      <c r="G18" s="112"/>
    </row>
    <row r="19" spans="1:8" ht="15.75">
      <c r="A19" s="108"/>
      <c r="B19" s="108"/>
      <c r="C19" s="108"/>
      <c r="D19" s="102"/>
      <c r="E19" s="102"/>
      <c r="F19" s="102"/>
      <c r="G19" s="113">
        <f t="shared" si="0"/>
        <v>0</v>
      </c>
    </row>
    <row r="20" spans="1:8" ht="16.5" thickBot="1">
      <c r="A20" s="103"/>
      <c r="B20" s="103"/>
      <c r="C20" s="103"/>
      <c r="D20" s="104">
        <f>SUM(D8:D19)</f>
        <v>527500</v>
      </c>
      <c r="E20" s="104">
        <f>SUM(E8:E19)</f>
        <v>0</v>
      </c>
      <c r="F20" s="104">
        <f t="shared" ref="F20" si="1">SUM(F8:F19)</f>
        <v>247150</v>
      </c>
      <c r="G20" s="114">
        <f t="shared" si="0"/>
        <v>247150</v>
      </c>
    </row>
    <row r="21" spans="1:8" ht="15" thickTop="1"/>
    <row r="23" spans="1:8" ht="21">
      <c r="A23" s="80"/>
      <c r="B23" s="77"/>
      <c r="C23" s="77"/>
      <c r="D23" s="77"/>
      <c r="E23" s="77"/>
      <c r="F23" s="77"/>
      <c r="G23" s="77"/>
      <c r="H23" s="130"/>
    </row>
    <row r="24" spans="1:8" ht="21">
      <c r="A24" s="80"/>
      <c r="B24" s="77"/>
      <c r="C24" s="77"/>
      <c r="D24" s="77"/>
      <c r="E24" s="77"/>
      <c r="F24" s="77"/>
      <c r="G24" s="77"/>
      <c r="H24" s="78"/>
    </row>
    <row r="25" spans="1:8" ht="21">
      <c r="A25" s="80"/>
      <c r="B25" s="77"/>
      <c r="C25" s="77"/>
      <c r="D25" s="77"/>
      <c r="E25" s="77"/>
      <c r="F25" s="77"/>
      <c r="G25" s="77"/>
      <c r="H25" s="78"/>
    </row>
    <row r="26" spans="1:8" ht="21">
      <c r="A26" s="80"/>
      <c r="B26" s="77"/>
      <c r="C26" s="77"/>
      <c r="D26" s="77"/>
      <c r="E26" s="77"/>
      <c r="F26" s="77"/>
      <c r="G26" s="77"/>
      <c r="H26" s="78"/>
    </row>
    <row r="27" spans="1:8" ht="21">
      <c r="A27" s="80"/>
      <c r="B27" s="77"/>
      <c r="C27" s="77"/>
      <c r="D27" s="77"/>
      <c r="E27" s="77"/>
      <c r="F27" s="77"/>
      <c r="G27" s="77"/>
      <c r="H27" s="78"/>
    </row>
    <row r="28" spans="1:8" ht="21">
      <c r="A28" s="80"/>
      <c r="B28" s="77"/>
      <c r="C28" s="77"/>
      <c r="D28" s="77"/>
      <c r="E28" s="77"/>
      <c r="F28" s="77"/>
      <c r="G28" s="77"/>
      <c r="H28" s="78"/>
    </row>
  </sheetData>
  <mergeCells count="3">
    <mergeCell ref="A1:G1"/>
    <mergeCell ref="A2:G2"/>
    <mergeCell ref="A3:G3"/>
  </mergeCells>
  <pageMargins left="0.70866141732283472" right="0.70866141732283472" top="0.74803149606299213" bottom="0" header="0.31496062992125984" footer="0"/>
  <pageSetup paperSize="9" orientation="landscape" horizontalDpi="0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theme="9"/>
  </sheetPr>
  <dimension ref="A1:H27"/>
  <sheetViews>
    <sheetView topLeftCell="A3" workbookViewId="0">
      <selection activeCell="D11" sqref="D11"/>
    </sheetView>
  </sheetViews>
  <sheetFormatPr defaultColWidth="16.125" defaultRowHeight="14.25"/>
  <sheetData>
    <row r="1" spans="1:7" ht="18.75">
      <c r="A1" s="312" t="s">
        <v>0</v>
      </c>
      <c r="B1" s="312"/>
      <c r="C1" s="312"/>
      <c r="D1" s="312"/>
      <c r="E1" s="312"/>
      <c r="F1" s="312"/>
      <c r="G1" s="312"/>
    </row>
    <row r="2" spans="1:7" ht="18.75">
      <c r="A2" s="312" t="s">
        <v>171</v>
      </c>
      <c r="B2" s="312"/>
      <c r="C2" s="312"/>
      <c r="D2" s="312"/>
      <c r="E2" s="312"/>
      <c r="F2" s="312"/>
      <c r="G2" s="312"/>
    </row>
    <row r="3" spans="1:7" ht="18.75">
      <c r="A3" s="312" t="s">
        <v>388</v>
      </c>
      <c r="B3" s="312"/>
      <c r="C3" s="312"/>
      <c r="D3" s="312"/>
      <c r="E3" s="312"/>
      <c r="F3" s="312"/>
      <c r="G3" s="312"/>
    </row>
    <row r="4" spans="1:7" ht="18.75">
      <c r="A4" s="106"/>
      <c r="B4" s="106"/>
      <c r="C4" s="106"/>
      <c r="D4" s="107"/>
      <c r="E4" s="107"/>
      <c r="F4" s="107"/>
      <c r="G4" s="106"/>
    </row>
    <row r="5" spans="1:7" ht="15.75">
      <c r="A5" s="94" t="s">
        <v>123</v>
      </c>
      <c r="B5" s="94" t="s">
        <v>72</v>
      </c>
      <c r="C5" s="94" t="s">
        <v>69</v>
      </c>
      <c r="D5" s="95" t="s">
        <v>124</v>
      </c>
      <c r="E5" s="95" t="s">
        <v>172</v>
      </c>
      <c r="F5" s="95" t="s">
        <v>173</v>
      </c>
      <c r="G5" s="94" t="s">
        <v>45</v>
      </c>
    </row>
    <row r="6" spans="1:7" ht="15.75">
      <c r="A6" s="96"/>
      <c r="B6" s="96"/>
      <c r="C6" s="96"/>
      <c r="D6" s="97"/>
      <c r="E6" s="97" t="s">
        <v>174</v>
      </c>
      <c r="F6" s="97" t="s">
        <v>175</v>
      </c>
      <c r="G6" s="96"/>
    </row>
    <row r="7" spans="1:7" ht="15.75">
      <c r="A7" s="98"/>
      <c r="B7" s="98"/>
      <c r="C7" s="98"/>
      <c r="D7" s="99"/>
      <c r="E7" s="99"/>
      <c r="F7" s="99"/>
      <c r="G7" s="98"/>
    </row>
    <row r="8" spans="1:7" ht="15.75">
      <c r="A8" s="100" t="s">
        <v>128</v>
      </c>
      <c r="B8" s="100" t="s">
        <v>129</v>
      </c>
      <c r="C8" s="100" t="s">
        <v>75</v>
      </c>
      <c r="D8" s="101"/>
      <c r="E8" s="101">
        <v>0</v>
      </c>
      <c r="F8" s="101">
        <v>0</v>
      </c>
      <c r="G8" s="112">
        <f>E8+F8</f>
        <v>0</v>
      </c>
    </row>
    <row r="9" spans="1:7" ht="15.75">
      <c r="A9" s="100"/>
      <c r="B9" s="100" t="s">
        <v>130</v>
      </c>
      <c r="C9" s="100" t="s">
        <v>75</v>
      </c>
      <c r="D9" s="101"/>
      <c r="E9" s="101">
        <v>0</v>
      </c>
      <c r="F9" s="101">
        <v>0</v>
      </c>
      <c r="G9" s="112">
        <f t="shared" ref="G9:G16" si="0">E9+F9</f>
        <v>0</v>
      </c>
    </row>
    <row r="10" spans="1:7" ht="15.75">
      <c r="A10" s="100" t="s">
        <v>132</v>
      </c>
      <c r="B10" s="100" t="s">
        <v>133</v>
      </c>
      <c r="C10" s="100" t="s">
        <v>75</v>
      </c>
      <c r="D10" s="101"/>
      <c r="E10" s="101">
        <v>0</v>
      </c>
      <c r="F10" s="101">
        <v>0</v>
      </c>
      <c r="G10" s="112">
        <f t="shared" si="0"/>
        <v>0</v>
      </c>
    </row>
    <row r="11" spans="1:7" ht="15.75">
      <c r="A11" s="100"/>
      <c r="B11" s="100" t="s">
        <v>79</v>
      </c>
      <c r="C11" s="100" t="s">
        <v>75</v>
      </c>
      <c r="D11" s="101">
        <v>200000</v>
      </c>
      <c r="E11" s="101">
        <v>133960</v>
      </c>
      <c r="F11" s="101">
        <v>0</v>
      </c>
      <c r="G11" s="112">
        <f t="shared" si="0"/>
        <v>133960</v>
      </c>
    </row>
    <row r="12" spans="1:7" ht="15.75">
      <c r="A12" s="100"/>
      <c r="B12" s="100" t="s">
        <v>93</v>
      </c>
      <c r="C12" s="100" t="s">
        <v>75</v>
      </c>
      <c r="D12" s="101"/>
      <c r="E12" s="101">
        <v>0</v>
      </c>
      <c r="F12" s="101">
        <v>0</v>
      </c>
      <c r="G12" s="112">
        <f t="shared" si="0"/>
        <v>0</v>
      </c>
    </row>
    <row r="13" spans="1:7" ht="15.75">
      <c r="A13" s="100"/>
      <c r="B13" s="100" t="s">
        <v>134</v>
      </c>
      <c r="C13" s="100" t="s">
        <v>75</v>
      </c>
      <c r="D13" s="101"/>
      <c r="E13" s="101">
        <v>0</v>
      </c>
      <c r="F13" s="101">
        <v>0</v>
      </c>
      <c r="G13" s="112">
        <f t="shared" si="0"/>
        <v>0</v>
      </c>
    </row>
    <row r="14" spans="1:7" ht="15.75">
      <c r="A14" s="100" t="s">
        <v>135</v>
      </c>
      <c r="B14" s="100" t="s">
        <v>96</v>
      </c>
      <c r="C14" s="100" t="s">
        <v>75</v>
      </c>
      <c r="D14" s="101"/>
      <c r="E14" s="101">
        <v>0</v>
      </c>
      <c r="F14" s="101">
        <v>0</v>
      </c>
      <c r="G14" s="112">
        <f t="shared" si="0"/>
        <v>0</v>
      </c>
    </row>
    <row r="15" spans="1:7" ht="15.75">
      <c r="A15" s="100"/>
      <c r="B15" s="100" t="s">
        <v>136</v>
      </c>
      <c r="C15" s="100" t="s">
        <v>75</v>
      </c>
      <c r="D15" s="101"/>
      <c r="E15" s="101"/>
      <c r="F15" s="101"/>
      <c r="G15" s="112"/>
    </row>
    <row r="16" spans="1:7" ht="15.75">
      <c r="A16" s="100" t="s">
        <v>137</v>
      </c>
      <c r="B16" s="100" t="s">
        <v>137</v>
      </c>
      <c r="C16" s="100" t="s">
        <v>75</v>
      </c>
      <c r="D16" s="101"/>
      <c r="E16" s="101">
        <v>0</v>
      </c>
      <c r="F16" s="101">
        <v>0</v>
      </c>
      <c r="G16" s="112">
        <f t="shared" si="0"/>
        <v>0</v>
      </c>
    </row>
    <row r="17" spans="1:8" ht="15.75">
      <c r="A17" s="100"/>
      <c r="B17" s="100"/>
      <c r="C17" s="100"/>
      <c r="D17" s="102"/>
      <c r="E17" s="102"/>
      <c r="F17" s="102"/>
      <c r="G17" s="108"/>
    </row>
    <row r="18" spans="1:8" ht="16.5" thickBot="1">
      <c r="A18" s="103"/>
      <c r="B18" s="103"/>
      <c r="C18" s="103"/>
      <c r="D18" s="104">
        <f>SUM(D8:D17)</f>
        <v>200000</v>
      </c>
      <c r="E18" s="104">
        <f t="shared" ref="E18:F18" si="1">SUM(E8:E17)</f>
        <v>133960</v>
      </c>
      <c r="F18" s="104">
        <f t="shared" si="1"/>
        <v>0</v>
      </c>
      <c r="G18" s="104">
        <f>SUM(G8:G17)</f>
        <v>133960</v>
      </c>
    </row>
    <row r="19" spans="1:8" ht="15" thickTop="1"/>
    <row r="22" spans="1:8" ht="21">
      <c r="A22" s="80"/>
      <c r="B22" s="77"/>
      <c r="C22" s="77"/>
      <c r="D22" s="77"/>
      <c r="E22" s="77"/>
      <c r="F22" s="77"/>
      <c r="G22" s="77"/>
      <c r="H22" s="130"/>
    </row>
    <row r="23" spans="1:8" ht="21">
      <c r="A23" s="80"/>
      <c r="B23" s="77"/>
      <c r="C23" s="77"/>
      <c r="D23" s="77"/>
      <c r="E23" s="77"/>
      <c r="F23" s="77"/>
      <c r="G23" s="77"/>
      <c r="H23" s="78"/>
    </row>
    <row r="24" spans="1:8" ht="21">
      <c r="A24" s="80"/>
      <c r="B24" s="77"/>
      <c r="C24" s="77"/>
      <c r="D24" s="77"/>
      <c r="E24" s="77"/>
      <c r="F24" s="77"/>
      <c r="G24" s="77"/>
      <c r="H24" s="78"/>
    </row>
    <row r="25" spans="1:8" ht="21">
      <c r="A25" s="80"/>
      <c r="B25" s="77"/>
      <c r="C25" s="77"/>
      <c r="D25" s="77"/>
      <c r="E25" s="77"/>
      <c r="F25" s="77"/>
      <c r="G25" s="77"/>
      <c r="H25" s="78"/>
    </row>
    <row r="26" spans="1:8" ht="21">
      <c r="A26" s="80"/>
      <c r="B26" s="77"/>
      <c r="C26" s="77"/>
      <c r="D26" s="77"/>
      <c r="E26" s="77"/>
      <c r="F26" s="77"/>
      <c r="G26" s="77"/>
      <c r="H26" s="78"/>
    </row>
    <row r="27" spans="1:8" ht="21">
      <c r="A27" s="80"/>
      <c r="B27" s="77"/>
      <c r="C27" s="77"/>
      <c r="D27" s="77"/>
      <c r="E27" s="77"/>
      <c r="F27" s="77"/>
      <c r="G27" s="77"/>
      <c r="H27" s="78"/>
    </row>
  </sheetData>
  <mergeCells count="3">
    <mergeCell ref="A1:G1"/>
    <mergeCell ref="A2:G2"/>
    <mergeCell ref="A3:G3"/>
  </mergeCells>
  <pageMargins left="0.70866141732283472" right="0.70866141732283472" top="0.74803149606299213" bottom="0" header="0.31496062992125984" footer="0"/>
  <pageSetup paperSize="9" orientation="landscape" horizontalDpi="0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theme="9"/>
  </sheetPr>
  <dimension ref="A1:P30"/>
  <sheetViews>
    <sheetView view="pageBreakPreview" topLeftCell="B1" zoomScaleNormal="110" zoomScaleSheetLayoutView="100" workbookViewId="0">
      <selection activeCell="E13" sqref="E13"/>
    </sheetView>
  </sheetViews>
  <sheetFormatPr defaultRowHeight="14.25"/>
  <cols>
    <col min="1" max="1" width="6.625" customWidth="1"/>
    <col min="2" max="2" width="16.75" customWidth="1"/>
    <col min="3" max="3" width="11.625" customWidth="1"/>
    <col min="4" max="4" width="8" customWidth="1"/>
    <col min="5" max="5" width="7.5" customWidth="1"/>
    <col min="6" max="6" width="9.125" style="174" bestFit="1" customWidth="1"/>
    <col min="7" max="7" width="8.125" style="174" customWidth="1"/>
    <col min="8" max="8" width="6.875" style="174" customWidth="1"/>
    <col min="9" max="9" width="9.125" style="174" bestFit="1" customWidth="1"/>
    <col min="10" max="10" width="7.25" style="174" customWidth="1"/>
    <col min="11" max="11" width="7.5" style="174" customWidth="1"/>
    <col min="12" max="12" width="7.375" style="174" customWidth="1"/>
    <col min="13" max="13" width="7.75" style="174" customWidth="1"/>
    <col min="14" max="14" width="9.125" bestFit="1" customWidth="1"/>
    <col min="16" max="16" width="15.125" bestFit="1" customWidth="1"/>
  </cols>
  <sheetData>
    <row r="1" spans="1:16" ht="15.75">
      <c r="A1" s="313" t="s">
        <v>0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</row>
    <row r="2" spans="1:16" ht="15.75">
      <c r="A2" s="313" t="s">
        <v>176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</row>
    <row r="3" spans="1:16" ht="15.75">
      <c r="A3" s="313" t="s">
        <v>392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</row>
    <row r="4" spans="1:16" ht="15">
      <c r="A4" s="115"/>
      <c r="B4" s="115"/>
      <c r="C4" s="115"/>
      <c r="D4" s="116"/>
      <c r="E4" s="116"/>
      <c r="F4" s="168"/>
      <c r="G4" s="168"/>
      <c r="H4" s="168"/>
      <c r="I4" s="168"/>
      <c r="J4" s="168"/>
      <c r="K4" s="168"/>
      <c r="L4" s="168"/>
      <c r="M4" s="168"/>
      <c r="N4" s="116"/>
    </row>
    <row r="5" spans="1:16" ht="15">
      <c r="A5" s="117" t="s">
        <v>123</v>
      </c>
      <c r="B5" s="117" t="s">
        <v>72</v>
      </c>
      <c r="C5" s="117" t="s">
        <v>69</v>
      </c>
      <c r="D5" s="118" t="s">
        <v>177</v>
      </c>
      <c r="E5" s="118" t="s">
        <v>178</v>
      </c>
      <c r="F5" s="169" t="s">
        <v>90</v>
      </c>
      <c r="G5" s="169" t="s">
        <v>91</v>
      </c>
      <c r="H5" s="169" t="s">
        <v>281</v>
      </c>
      <c r="I5" s="169" t="s">
        <v>180</v>
      </c>
      <c r="J5" s="169" t="s">
        <v>181</v>
      </c>
      <c r="K5" s="169" t="s">
        <v>182</v>
      </c>
      <c r="L5" s="169" t="s">
        <v>174</v>
      </c>
      <c r="M5" s="169" t="s">
        <v>98</v>
      </c>
      <c r="N5" s="118" t="s">
        <v>45</v>
      </c>
    </row>
    <row r="6" spans="1:16" ht="15">
      <c r="A6" s="119"/>
      <c r="B6" s="119"/>
      <c r="C6" s="119"/>
      <c r="D6" s="120" t="s">
        <v>33</v>
      </c>
      <c r="E6" s="120" t="s">
        <v>185</v>
      </c>
      <c r="F6" s="170"/>
      <c r="G6" s="170"/>
      <c r="H6" s="170" t="s">
        <v>282</v>
      </c>
      <c r="I6" s="170" t="s">
        <v>186</v>
      </c>
      <c r="J6" s="170" t="s">
        <v>187</v>
      </c>
      <c r="K6" s="170" t="s">
        <v>188</v>
      </c>
      <c r="L6" s="170"/>
      <c r="M6" s="170"/>
      <c r="N6" s="120"/>
    </row>
    <row r="7" spans="1:16" ht="15">
      <c r="A7" s="121"/>
      <c r="B7" s="121"/>
      <c r="C7" s="121"/>
      <c r="D7" s="122"/>
      <c r="E7" s="122"/>
      <c r="F7" s="171"/>
      <c r="G7" s="171"/>
      <c r="H7" s="171"/>
      <c r="I7" s="171"/>
      <c r="J7" s="171"/>
      <c r="K7" s="171"/>
      <c r="L7" s="171"/>
      <c r="M7" s="171"/>
      <c r="N7" s="122"/>
    </row>
    <row r="8" spans="1:16" ht="15">
      <c r="A8" s="100" t="s">
        <v>128</v>
      </c>
      <c r="B8" s="100" t="s">
        <v>129</v>
      </c>
      <c r="C8" s="100" t="s">
        <v>75</v>
      </c>
      <c r="D8" s="123">
        <v>2484720</v>
      </c>
      <c r="E8" s="123"/>
      <c r="F8" s="128"/>
      <c r="G8" s="128"/>
      <c r="H8" s="128"/>
      <c r="I8" s="128"/>
      <c r="J8" s="128"/>
      <c r="K8" s="128"/>
      <c r="L8" s="128"/>
      <c r="M8" s="128"/>
      <c r="N8" s="123">
        <f>SUM(D8:M8)</f>
        <v>2484720</v>
      </c>
    </row>
    <row r="9" spans="1:16" ht="15">
      <c r="A9" s="100"/>
      <c r="B9" s="100" t="s">
        <v>130</v>
      </c>
      <c r="C9" s="100" t="s">
        <v>75</v>
      </c>
      <c r="D9" s="123">
        <v>4531372</v>
      </c>
      <c r="E9" s="123"/>
      <c r="F9" s="128">
        <v>3898670</v>
      </c>
      <c r="G9" s="128">
        <v>587160</v>
      </c>
      <c r="H9" s="128">
        <v>610080</v>
      </c>
      <c r="I9" s="128">
        <v>968100</v>
      </c>
      <c r="J9" s="128"/>
      <c r="K9" s="128"/>
      <c r="L9" s="128"/>
      <c r="M9" s="128"/>
      <c r="N9" s="123">
        <f t="shared" ref="N9:N21" si="0">SUM(D9:M9)</f>
        <v>10595382</v>
      </c>
    </row>
    <row r="10" spans="1:16" ht="15">
      <c r="A10" s="100" t="s">
        <v>132</v>
      </c>
      <c r="B10" s="100" t="s">
        <v>133</v>
      </c>
      <c r="C10" s="100" t="s">
        <v>75</v>
      </c>
      <c r="D10" s="123">
        <v>313832.5</v>
      </c>
      <c r="E10" s="123"/>
      <c r="F10" s="128">
        <v>71178</v>
      </c>
      <c r="G10" s="128"/>
      <c r="H10" s="128">
        <v>49510</v>
      </c>
      <c r="I10" s="128">
        <v>42000</v>
      </c>
      <c r="J10" s="128"/>
      <c r="K10" s="128"/>
      <c r="L10" s="128"/>
      <c r="M10" s="128"/>
      <c r="N10" s="123">
        <f t="shared" si="0"/>
        <v>476520.5</v>
      </c>
    </row>
    <row r="11" spans="1:16" ht="15">
      <c r="A11" s="100"/>
      <c r="B11" s="100" t="s">
        <v>79</v>
      </c>
      <c r="C11" s="100" t="s">
        <v>75</v>
      </c>
      <c r="D11" s="123">
        <v>1407163.36</v>
      </c>
      <c r="E11" s="123">
        <v>9158</v>
      </c>
      <c r="F11" s="128">
        <v>1838266</v>
      </c>
      <c r="G11" s="128">
        <v>215360.91</v>
      </c>
      <c r="H11" s="128">
        <v>87000</v>
      </c>
      <c r="I11" s="128">
        <v>589893</v>
      </c>
      <c r="J11" s="128">
        <v>234650</v>
      </c>
      <c r="K11" s="128">
        <v>500942</v>
      </c>
      <c r="L11" s="128">
        <v>133960</v>
      </c>
      <c r="M11" s="128"/>
      <c r="N11" s="123">
        <f t="shared" si="0"/>
        <v>5016393.2700000005</v>
      </c>
    </row>
    <row r="12" spans="1:16" ht="15">
      <c r="A12" s="100"/>
      <c r="B12" s="100" t="s">
        <v>79</v>
      </c>
      <c r="C12" s="100" t="s">
        <v>131</v>
      </c>
      <c r="D12" s="123"/>
      <c r="E12" s="123"/>
      <c r="F12" s="128"/>
      <c r="G12" s="128"/>
      <c r="H12" s="128">
        <v>60000</v>
      </c>
      <c r="I12" s="128"/>
      <c r="J12" s="128">
        <v>12500</v>
      </c>
      <c r="K12" s="128"/>
      <c r="L12" s="128"/>
      <c r="M12" s="128"/>
      <c r="N12" s="123">
        <f t="shared" si="0"/>
        <v>72500</v>
      </c>
    </row>
    <row r="13" spans="1:16" ht="15">
      <c r="A13" s="100"/>
      <c r="B13" s="100" t="s">
        <v>93</v>
      </c>
      <c r="C13" s="100" t="s">
        <v>75</v>
      </c>
      <c r="D13" s="123">
        <v>200347.38</v>
      </c>
      <c r="E13" s="123"/>
      <c r="F13" s="128">
        <v>1236624.3999999999</v>
      </c>
      <c r="G13" s="128">
        <v>161003.5</v>
      </c>
      <c r="H13" s="128">
        <v>16750</v>
      </c>
      <c r="I13" s="128">
        <v>31900</v>
      </c>
      <c r="J13" s="128"/>
      <c r="K13" s="128"/>
      <c r="L13" s="128"/>
      <c r="M13" s="128"/>
      <c r="N13" s="123">
        <f t="shared" si="0"/>
        <v>1646625.2799999998</v>
      </c>
      <c r="P13" s="167">
        <f>46411481.22-3421684.69</f>
        <v>42989796.530000001</v>
      </c>
    </row>
    <row r="14" spans="1:16" ht="15">
      <c r="A14" s="100"/>
      <c r="B14" s="100" t="s">
        <v>134</v>
      </c>
      <c r="C14" s="100" t="s">
        <v>75</v>
      </c>
      <c r="D14" s="123">
        <v>229212.68</v>
      </c>
      <c r="E14" s="123"/>
      <c r="F14" s="128"/>
      <c r="G14" s="128"/>
      <c r="H14" s="128"/>
      <c r="I14" s="128"/>
      <c r="J14" s="128"/>
      <c r="K14" s="128"/>
      <c r="L14" s="128"/>
      <c r="M14" s="128"/>
      <c r="N14" s="123">
        <f t="shared" si="0"/>
        <v>229212.68</v>
      </c>
      <c r="P14" s="139">
        <f>SUM(P13:P13)</f>
        <v>42989796.530000001</v>
      </c>
    </row>
    <row r="15" spans="1:16" ht="15">
      <c r="A15" s="100" t="s">
        <v>135</v>
      </c>
      <c r="B15" s="100" t="s">
        <v>283</v>
      </c>
      <c r="C15" s="100" t="s">
        <v>75</v>
      </c>
      <c r="D15" s="123">
        <v>50000</v>
      </c>
      <c r="E15" s="123"/>
      <c r="F15" s="128">
        <v>6000</v>
      </c>
      <c r="G15" s="128">
        <v>8400</v>
      </c>
      <c r="H15" s="128"/>
      <c r="I15" s="128">
        <v>11100</v>
      </c>
      <c r="J15" s="128"/>
      <c r="K15" s="128"/>
      <c r="L15" s="128"/>
      <c r="M15" s="128"/>
      <c r="N15" s="123">
        <f t="shared" si="0"/>
        <v>75500</v>
      </c>
    </row>
    <row r="16" spans="1:16" ht="15">
      <c r="A16" s="100"/>
      <c r="B16" s="100" t="s">
        <v>284</v>
      </c>
      <c r="C16" s="100" t="s">
        <v>75</v>
      </c>
      <c r="D16" s="123"/>
      <c r="E16" s="123"/>
      <c r="F16" s="128"/>
      <c r="G16" s="128"/>
      <c r="H16" s="128"/>
      <c r="I16" s="128">
        <v>9785066.5500000007</v>
      </c>
      <c r="J16" s="128"/>
      <c r="K16" s="128"/>
      <c r="L16" s="128"/>
      <c r="M16" s="128"/>
      <c r="N16" s="123">
        <f t="shared" si="0"/>
        <v>9785066.5500000007</v>
      </c>
    </row>
    <row r="17" spans="1:14" ht="15">
      <c r="A17" s="100"/>
      <c r="B17" s="100" t="s">
        <v>285</v>
      </c>
      <c r="C17" s="100" t="s">
        <v>131</v>
      </c>
      <c r="D17" s="123"/>
      <c r="E17" s="123"/>
      <c r="F17" s="128"/>
      <c r="G17" s="128"/>
      <c r="H17" s="128"/>
      <c r="I17" s="128">
        <v>2779000</v>
      </c>
      <c r="J17" s="128"/>
      <c r="K17" s="128"/>
      <c r="L17" s="128"/>
      <c r="M17" s="128"/>
      <c r="N17" s="123">
        <f t="shared" si="0"/>
        <v>2779000</v>
      </c>
    </row>
    <row r="18" spans="1:14" ht="15">
      <c r="A18" s="100" t="s">
        <v>137</v>
      </c>
      <c r="B18" s="100" t="s">
        <v>137</v>
      </c>
      <c r="C18" s="100" t="s">
        <v>75</v>
      </c>
      <c r="D18" s="123">
        <v>20000</v>
      </c>
      <c r="E18" s="123"/>
      <c r="F18" s="128">
        <v>1802000</v>
      </c>
      <c r="G18" s="128">
        <v>30000</v>
      </c>
      <c r="H18" s="128"/>
      <c r="I18" s="128">
        <v>418387.73</v>
      </c>
      <c r="J18" s="128"/>
      <c r="K18" s="128"/>
      <c r="L18" s="128"/>
      <c r="M18" s="128"/>
      <c r="N18" s="123">
        <f t="shared" si="0"/>
        <v>2270387.73</v>
      </c>
    </row>
    <row r="19" spans="1:14" ht="15">
      <c r="A19" s="125" t="s">
        <v>98</v>
      </c>
      <c r="B19" s="125" t="s">
        <v>98</v>
      </c>
      <c r="C19" s="125" t="s">
        <v>75</v>
      </c>
      <c r="D19" s="124"/>
      <c r="E19" s="124"/>
      <c r="F19" s="172"/>
      <c r="G19" s="172"/>
      <c r="H19" s="172"/>
      <c r="I19" s="172"/>
      <c r="J19" s="172"/>
      <c r="K19" s="172"/>
      <c r="L19" s="172"/>
      <c r="M19" s="172">
        <v>9398109.5</v>
      </c>
      <c r="N19" s="123">
        <f t="shared" si="0"/>
        <v>9398109.5</v>
      </c>
    </row>
    <row r="20" spans="1:14" ht="15">
      <c r="A20" s="125"/>
      <c r="B20" s="125"/>
      <c r="C20" s="100"/>
      <c r="D20" s="124"/>
      <c r="E20" s="124"/>
      <c r="F20" s="172"/>
      <c r="G20" s="172"/>
      <c r="H20" s="172"/>
      <c r="I20" s="172"/>
      <c r="J20" s="172"/>
      <c r="K20" s="172"/>
      <c r="L20" s="172"/>
      <c r="M20" s="172"/>
      <c r="N20" s="123"/>
    </row>
    <row r="21" spans="1:14" ht="15">
      <c r="A21" s="125"/>
      <c r="B21" s="125"/>
      <c r="C21" s="125"/>
      <c r="D21" s="124"/>
      <c r="E21" s="124"/>
      <c r="F21" s="172"/>
      <c r="G21" s="172"/>
      <c r="H21" s="172"/>
      <c r="I21" s="172"/>
      <c r="J21" s="172"/>
      <c r="K21" s="172"/>
      <c r="L21" s="172"/>
      <c r="M21" s="172"/>
      <c r="N21" s="123">
        <f t="shared" si="0"/>
        <v>0</v>
      </c>
    </row>
    <row r="22" spans="1:14" ht="15.75" thickBot="1">
      <c r="A22" s="126"/>
      <c r="B22" s="126"/>
      <c r="C22" s="126"/>
      <c r="D22" s="127">
        <f t="shared" ref="D22:N22" si="1">SUM(D8:D21)</f>
        <v>9236647.9199999999</v>
      </c>
      <c r="E22" s="127">
        <f t="shared" si="1"/>
        <v>9158</v>
      </c>
      <c r="F22" s="173">
        <f t="shared" si="1"/>
        <v>8852738.4000000004</v>
      </c>
      <c r="G22" s="173">
        <f t="shared" si="1"/>
        <v>1001924.41</v>
      </c>
      <c r="H22" s="173">
        <f t="shared" si="1"/>
        <v>823340</v>
      </c>
      <c r="I22" s="173">
        <f t="shared" si="1"/>
        <v>14625447.280000001</v>
      </c>
      <c r="J22" s="173">
        <f t="shared" si="1"/>
        <v>247150</v>
      </c>
      <c r="K22" s="173">
        <f t="shared" si="1"/>
        <v>500942</v>
      </c>
      <c r="L22" s="173">
        <f t="shared" si="1"/>
        <v>133960</v>
      </c>
      <c r="M22" s="173">
        <f t="shared" si="1"/>
        <v>9398109.5</v>
      </c>
      <c r="N22" s="127">
        <f t="shared" si="1"/>
        <v>44829417.509999998</v>
      </c>
    </row>
    <row r="23" spans="1:14" ht="15" thickTop="1"/>
    <row r="25" spans="1:14" ht="21">
      <c r="C25" s="80"/>
      <c r="D25" s="77"/>
      <c r="E25" s="77"/>
      <c r="F25" s="77"/>
      <c r="G25" s="77"/>
      <c r="H25" s="77"/>
      <c r="I25" s="77"/>
      <c r="J25" s="130"/>
    </row>
    <row r="26" spans="1:14" ht="21">
      <c r="C26" s="80"/>
      <c r="D26" s="77"/>
      <c r="E26" s="77"/>
      <c r="F26" s="77"/>
      <c r="G26" s="77"/>
      <c r="H26" s="77"/>
      <c r="I26" s="77"/>
      <c r="J26" s="78"/>
    </row>
    <row r="27" spans="1:14" ht="21">
      <c r="C27" s="80"/>
      <c r="D27" s="77"/>
      <c r="E27" s="77"/>
      <c r="F27" s="77"/>
      <c r="G27" s="77"/>
      <c r="H27" s="77"/>
      <c r="I27" s="77"/>
      <c r="J27" s="78"/>
    </row>
    <row r="28" spans="1:14" ht="21">
      <c r="C28" s="80"/>
      <c r="D28" s="77"/>
      <c r="E28" s="77"/>
      <c r="F28" s="77"/>
      <c r="G28" s="77"/>
      <c r="H28" s="77"/>
      <c r="I28" s="77"/>
      <c r="J28" s="78"/>
    </row>
    <row r="29" spans="1:14" ht="21">
      <c r="C29" s="80"/>
      <c r="D29" s="77"/>
      <c r="E29" s="77"/>
      <c r="F29" s="77"/>
      <c r="G29" s="77"/>
      <c r="H29" s="77"/>
      <c r="I29" s="77"/>
      <c r="J29" s="78"/>
    </row>
    <row r="30" spans="1:14" ht="21">
      <c r="C30" s="80"/>
      <c r="D30" s="77"/>
      <c r="E30" s="77"/>
      <c r="F30" s="77"/>
      <c r="G30" s="77"/>
      <c r="H30" s="77"/>
      <c r="I30" s="77"/>
      <c r="J30" s="78"/>
    </row>
  </sheetData>
  <mergeCells count="3">
    <mergeCell ref="A1:N1"/>
    <mergeCell ref="A2:N2"/>
    <mergeCell ref="A3:N3"/>
  </mergeCells>
  <pageMargins left="0" right="0" top="0.74803149606299213" bottom="0.35433070866141736" header="0" footer="0"/>
  <pageSetup paperSize="9" orientation="landscape" horizontalDpi="0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theme="9"/>
  </sheetPr>
  <dimension ref="A1:P35"/>
  <sheetViews>
    <sheetView workbookViewId="0">
      <selection activeCell="G16" sqref="G16"/>
    </sheetView>
  </sheetViews>
  <sheetFormatPr defaultRowHeight="14.25"/>
  <cols>
    <col min="2" max="2" width="11" customWidth="1"/>
    <col min="3" max="3" width="11.25" customWidth="1"/>
    <col min="5" max="5" width="7.25" customWidth="1"/>
    <col min="6" max="6" width="8" customWidth="1"/>
    <col min="7" max="7" width="6.875" customWidth="1"/>
    <col min="8" max="8" width="7.5" customWidth="1"/>
    <col min="12" max="12" width="7.625" customWidth="1"/>
    <col min="13" max="13" width="6.5" customWidth="1"/>
    <col min="14" max="14" width="7" customWidth="1"/>
    <col min="16" max="16" width="8.25" customWidth="1"/>
  </cols>
  <sheetData>
    <row r="1" spans="1:16" ht="15.75">
      <c r="A1" s="313" t="s">
        <v>0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</row>
    <row r="2" spans="1:16" ht="15.75">
      <c r="A2" s="313" t="s">
        <v>190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</row>
    <row r="3" spans="1:16" ht="15.75">
      <c r="A3" s="313" t="s">
        <v>392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</row>
    <row r="4" spans="1:16" ht="15">
      <c r="A4" s="115"/>
      <c r="B4" s="115"/>
      <c r="C4" s="115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</row>
    <row r="5" spans="1:16" ht="15">
      <c r="A5" s="117" t="s">
        <v>123</v>
      </c>
      <c r="B5" s="117" t="s">
        <v>72</v>
      </c>
      <c r="C5" s="117" t="s">
        <v>69</v>
      </c>
      <c r="D5" s="118" t="s">
        <v>177</v>
      </c>
      <c r="E5" s="118" t="s">
        <v>178</v>
      </c>
      <c r="F5" s="118" t="s">
        <v>90</v>
      </c>
      <c r="G5" s="118" t="s">
        <v>91</v>
      </c>
      <c r="H5" s="118" t="s">
        <v>179</v>
      </c>
      <c r="I5" s="118" t="s">
        <v>180</v>
      </c>
      <c r="J5" s="118" t="s">
        <v>181</v>
      </c>
      <c r="K5" s="118" t="s">
        <v>182</v>
      </c>
      <c r="L5" s="118" t="s">
        <v>183</v>
      </c>
      <c r="M5" s="118" t="s">
        <v>174</v>
      </c>
      <c r="N5" s="118" t="s">
        <v>184</v>
      </c>
      <c r="O5" s="118" t="s">
        <v>98</v>
      </c>
      <c r="P5" s="118" t="s">
        <v>45</v>
      </c>
    </row>
    <row r="6" spans="1:16" ht="15">
      <c r="A6" s="119"/>
      <c r="B6" s="119"/>
      <c r="C6" s="119"/>
      <c r="D6" s="120" t="s">
        <v>33</v>
      </c>
      <c r="E6" s="120" t="s">
        <v>185</v>
      </c>
      <c r="F6" s="120"/>
      <c r="G6" s="120"/>
      <c r="H6" s="120"/>
      <c r="I6" s="120" t="s">
        <v>186</v>
      </c>
      <c r="J6" s="120" t="s">
        <v>187</v>
      </c>
      <c r="K6" s="120" t="s">
        <v>188</v>
      </c>
      <c r="L6" s="120" t="s">
        <v>189</v>
      </c>
      <c r="M6" s="120"/>
      <c r="N6" s="120"/>
      <c r="O6" s="120"/>
      <c r="P6" s="120"/>
    </row>
    <row r="7" spans="1:16" ht="15">
      <c r="A7" s="121"/>
      <c r="B7" s="121"/>
      <c r="C7" s="121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</row>
    <row r="8" spans="1:16" ht="15">
      <c r="A8" s="100" t="s">
        <v>128</v>
      </c>
      <c r="B8" s="100" t="s">
        <v>129</v>
      </c>
      <c r="C8" s="100" t="s">
        <v>75</v>
      </c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>
        <f>SUM(D8:O8)</f>
        <v>0</v>
      </c>
    </row>
    <row r="9" spans="1:16" ht="15">
      <c r="A9" s="100"/>
      <c r="B9" s="100" t="s">
        <v>130</v>
      </c>
      <c r="C9" s="100" t="s">
        <v>75</v>
      </c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>
        <f t="shared" ref="P9:P26" si="0">SUM(D9:O9)</f>
        <v>0</v>
      </c>
    </row>
    <row r="10" spans="1:16" ht="15">
      <c r="A10" s="100"/>
      <c r="B10" s="100" t="s">
        <v>130</v>
      </c>
      <c r="C10" s="100" t="s">
        <v>131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>
        <f t="shared" si="0"/>
        <v>0</v>
      </c>
    </row>
    <row r="11" spans="1:16" ht="15">
      <c r="A11" s="100" t="s">
        <v>132</v>
      </c>
      <c r="B11" s="100" t="s">
        <v>133</v>
      </c>
      <c r="C11" s="100" t="s">
        <v>75</v>
      </c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>
        <f t="shared" si="0"/>
        <v>0</v>
      </c>
    </row>
    <row r="12" spans="1:16" ht="15">
      <c r="A12" s="100"/>
      <c r="B12" s="100" t="s">
        <v>133</v>
      </c>
      <c r="C12" s="100" t="s">
        <v>131</v>
      </c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>
        <f t="shared" si="0"/>
        <v>0</v>
      </c>
    </row>
    <row r="13" spans="1:16" ht="15">
      <c r="A13" s="100"/>
      <c r="B13" s="100" t="s">
        <v>79</v>
      </c>
      <c r="C13" s="100" t="s">
        <v>75</v>
      </c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>
        <f t="shared" si="0"/>
        <v>0</v>
      </c>
    </row>
    <row r="14" spans="1:16" ht="15">
      <c r="A14" s="100"/>
      <c r="B14" s="100" t="s">
        <v>79</v>
      </c>
      <c r="C14" s="100" t="s">
        <v>131</v>
      </c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>
        <f t="shared" si="0"/>
        <v>0</v>
      </c>
    </row>
    <row r="15" spans="1:16" ht="15">
      <c r="A15" s="100"/>
      <c r="B15" s="100" t="s">
        <v>93</v>
      </c>
      <c r="C15" s="100" t="s">
        <v>75</v>
      </c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>
        <f t="shared" si="0"/>
        <v>0</v>
      </c>
    </row>
    <row r="16" spans="1:16" ht="15">
      <c r="A16" s="100"/>
      <c r="B16" s="100" t="s">
        <v>93</v>
      </c>
      <c r="C16" s="100" t="s">
        <v>131</v>
      </c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>
        <f t="shared" si="0"/>
        <v>0</v>
      </c>
    </row>
    <row r="17" spans="1:16" ht="15">
      <c r="A17" s="100"/>
      <c r="B17" s="100" t="s">
        <v>134</v>
      </c>
      <c r="C17" s="100" t="s">
        <v>75</v>
      </c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>
        <f t="shared" si="0"/>
        <v>0</v>
      </c>
    </row>
    <row r="18" spans="1:16" ht="15">
      <c r="A18" s="100" t="s">
        <v>135</v>
      </c>
      <c r="B18" s="100" t="s">
        <v>96</v>
      </c>
      <c r="C18" s="100" t="s">
        <v>75</v>
      </c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>
        <f t="shared" si="0"/>
        <v>0</v>
      </c>
    </row>
    <row r="19" spans="1:16" ht="15">
      <c r="A19" s="100"/>
      <c r="B19" s="100" t="s">
        <v>96</v>
      </c>
      <c r="C19" s="100" t="s">
        <v>131</v>
      </c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>
        <f t="shared" si="0"/>
        <v>0</v>
      </c>
    </row>
    <row r="20" spans="1:16" ht="15">
      <c r="A20" s="100"/>
      <c r="B20" s="100" t="s">
        <v>136</v>
      </c>
      <c r="C20" s="100" t="s">
        <v>75</v>
      </c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>
        <f t="shared" si="0"/>
        <v>0</v>
      </c>
    </row>
    <row r="21" spans="1:16" ht="15">
      <c r="A21" s="100"/>
      <c r="B21" s="100" t="s">
        <v>136</v>
      </c>
      <c r="C21" s="100" t="s">
        <v>131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>
        <f t="shared" si="0"/>
        <v>0</v>
      </c>
    </row>
    <row r="22" spans="1:16" ht="15">
      <c r="A22" s="100" t="s">
        <v>137</v>
      </c>
      <c r="B22" s="100" t="s">
        <v>137</v>
      </c>
      <c r="C22" s="100" t="s">
        <v>75</v>
      </c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>
        <f t="shared" si="0"/>
        <v>0</v>
      </c>
    </row>
    <row r="23" spans="1:16" ht="15">
      <c r="A23" s="100"/>
      <c r="B23" s="100" t="s">
        <v>137</v>
      </c>
      <c r="C23" s="100" t="s">
        <v>131</v>
      </c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>
        <f t="shared" si="0"/>
        <v>0</v>
      </c>
    </row>
    <row r="24" spans="1:16" ht="15">
      <c r="A24" s="125" t="s">
        <v>98</v>
      </c>
      <c r="B24" s="125" t="s">
        <v>98</v>
      </c>
      <c r="C24" s="125" t="s">
        <v>75</v>
      </c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>
        <f t="shared" si="0"/>
        <v>0</v>
      </c>
    </row>
    <row r="25" spans="1:16" ht="15">
      <c r="A25" s="125"/>
      <c r="B25" s="125" t="s">
        <v>98</v>
      </c>
      <c r="C25" s="100" t="s">
        <v>131</v>
      </c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>
        <f t="shared" si="0"/>
        <v>0</v>
      </c>
    </row>
    <row r="26" spans="1:16" ht="15">
      <c r="A26" s="125"/>
      <c r="B26" s="125"/>
      <c r="C26" s="125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>
        <f t="shared" si="0"/>
        <v>0</v>
      </c>
    </row>
    <row r="27" spans="1:16" ht="15.75" thickBot="1">
      <c r="A27" s="126"/>
      <c r="B27" s="126"/>
      <c r="C27" s="126"/>
      <c r="D27" s="127">
        <f>SUM(D8:D26)</f>
        <v>0</v>
      </c>
      <c r="E27" s="127">
        <f t="shared" ref="E27:O27" si="1">SUM(E8:E26)</f>
        <v>0</v>
      </c>
      <c r="F27" s="127">
        <f t="shared" si="1"/>
        <v>0</v>
      </c>
      <c r="G27" s="127">
        <f t="shared" si="1"/>
        <v>0</v>
      </c>
      <c r="H27" s="127">
        <f t="shared" si="1"/>
        <v>0</v>
      </c>
      <c r="I27" s="127">
        <f t="shared" si="1"/>
        <v>0</v>
      </c>
      <c r="J27" s="127">
        <f t="shared" si="1"/>
        <v>0</v>
      </c>
      <c r="K27" s="127">
        <f t="shared" si="1"/>
        <v>0</v>
      </c>
      <c r="L27" s="127">
        <f t="shared" si="1"/>
        <v>0</v>
      </c>
      <c r="M27" s="127">
        <f t="shared" si="1"/>
        <v>0</v>
      </c>
      <c r="N27" s="127">
        <f t="shared" si="1"/>
        <v>0</v>
      </c>
      <c r="O27" s="127">
        <f t="shared" si="1"/>
        <v>0</v>
      </c>
      <c r="P27" s="127">
        <f>SUM(P8:P26)</f>
        <v>0</v>
      </c>
    </row>
    <row r="28" spans="1:16" ht="15" thickTop="1"/>
    <row r="30" spans="1:16" ht="21">
      <c r="C30" s="80"/>
      <c r="D30" s="77"/>
      <c r="E30" s="77"/>
      <c r="F30" s="77"/>
      <c r="G30" s="77"/>
      <c r="H30" s="77"/>
      <c r="I30" s="77"/>
      <c r="J30" s="130"/>
    </row>
    <row r="31" spans="1:16" ht="21">
      <c r="C31" s="80"/>
      <c r="D31" s="77"/>
      <c r="E31" s="77"/>
      <c r="F31" s="77"/>
      <c r="G31" s="77"/>
      <c r="H31" s="77"/>
      <c r="I31" s="77"/>
      <c r="J31" s="78"/>
    </row>
    <row r="32" spans="1:16" ht="21">
      <c r="C32" s="80"/>
      <c r="D32" s="77"/>
      <c r="E32" s="77"/>
      <c r="F32" s="77"/>
      <c r="G32" s="77"/>
      <c r="H32" s="77"/>
      <c r="I32" s="77"/>
      <c r="J32" s="78"/>
    </row>
    <row r="33" spans="3:10" ht="21">
      <c r="C33" s="80"/>
      <c r="D33" s="77"/>
      <c r="E33" s="77"/>
      <c r="F33" s="77"/>
      <c r="G33" s="77"/>
      <c r="H33" s="77"/>
      <c r="I33" s="77"/>
      <c r="J33" s="78"/>
    </row>
    <row r="34" spans="3:10" ht="21">
      <c r="C34" s="80"/>
      <c r="D34" s="77"/>
      <c r="E34" s="77"/>
      <c r="F34" s="77"/>
      <c r="G34" s="77"/>
      <c r="H34" s="77"/>
      <c r="I34" s="77"/>
      <c r="J34" s="78"/>
    </row>
    <row r="35" spans="3:10" ht="21">
      <c r="C35" s="80"/>
      <c r="D35" s="77"/>
      <c r="E35" s="77"/>
      <c r="F35" s="77"/>
      <c r="G35" s="77"/>
      <c r="H35" s="77"/>
      <c r="I35" s="77"/>
      <c r="J35" s="78"/>
    </row>
  </sheetData>
  <mergeCells count="3">
    <mergeCell ref="A1:P1"/>
    <mergeCell ref="A2:P2"/>
    <mergeCell ref="A3:P3"/>
  </mergeCells>
  <pageMargins left="0" right="0" top="0.74803149606299213" bottom="0.35433070866141736" header="0" footer="0"/>
  <pageSetup paperSize="9" orientation="landscape" horizontalDpi="0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theme="9"/>
  </sheetPr>
  <dimension ref="A1:P35"/>
  <sheetViews>
    <sheetView topLeftCell="A4" workbookViewId="0">
      <selection activeCell="G16" sqref="G16"/>
    </sheetView>
  </sheetViews>
  <sheetFormatPr defaultRowHeight="14.25"/>
  <cols>
    <col min="2" max="2" width="11" customWidth="1"/>
    <col min="3" max="3" width="11.25" customWidth="1"/>
    <col min="5" max="5" width="7.25" customWidth="1"/>
    <col min="6" max="6" width="8" customWidth="1"/>
    <col min="7" max="7" width="6.875" customWidth="1"/>
    <col min="8" max="8" width="7.5" customWidth="1"/>
    <col min="12" max="12" width="7.625" customWidth="1"/>
    <col min="13" max="13" width="6.5" customWidth="1"/>
    <col min="14" max="14" width="7" customWidth="1"/>
    <col min="16" max="16" width="8.25" customWidth="1"/>
  </cols>
  <sheetData>
    <row r="1" spans="1:16" ht="15.75">
      <c r="A1" s="313" t="s">
        <v>0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</row>
    <row r="2" spans="1:16" ht="15.75">
      <c r="A2" s="313" t="s">
        <v>191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</row>
    <row r="3" spans="1:16" ht="15.75">
      <c r="A3" s="313" t="s">
        <v>122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</row>
    <row r="4" spans="1:16" ht="15">
      <c r="A4" s="115"/>
      <c r="B4" s="115"/>
      <c r="C4" s="115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</row>
    <row r="5" spans="1:16" ht="15">
      <c r="A5" s="117" t="s">
        <v>123</v>
      </c>
      <c r="B5" s="117" t="s">
        <v>72</v>
      </c>
      <c r="C5" s="117" t="s">
        <v>69</v>
      </c>
      <c r="D5" s="118" t="s">
        <v>177</v>
      </c>
      <c r="E5" s="118" t="s">
        <v>178</v>
      </c>
      <c r="F5" s="118" t="s">
        <v>90</v>
      </c>
      <c r="G5" s="118" t="s">
        <v>91</v>
      </c>
      <c r="H5" s="118" t="s">
        <v>179</v>
      </c>
      <c r="I5" s="118" t="s">
        <v>180</v>
      </c>
      <c r="J5" s="118" t="s">
        <v>181</v>
      </c>
      <c r="K5" s="118" t="s">
        <v>182</v>
      </c>
      <c r="L5" s="118" t="s">
        <v>183</v>
      </c>
      <c r="M5" s="118" t="s">
        <v>174</v>
      </c>
      <c r="N5" s="118" t="s">
        <v>184</v>
      </c>
      <c r="O5" s="118" t="s">
        <v>98</v>
      </c>
      <c r="P5" s="118" t="s">
        <v>45</v>
      </c>
    </row>
    <row r="6" spans="1:16" ht="15">
      <c r="A6" s="119"/>
      <c r="B6" s="119"/>
      <c r="C6" s="119"/>
      <c r="D6" s="120" t="s">
        <v>33</v>
      </c>
      <c r="E6" s="120" t="s">
        <v>185</v>
      </c>
      <c r="F6" s="120"/>
      <c r="G6" s="120"/>
      <c r="H6" s="120"/>
      <c r="I6" s="120" t="s">
        <v>186</v>
      </c>
      <c r="J6" s="120" t="s">
        <v>187</v>
      </c>
      <c r="K6" s="120" t="s">
        <v>188</v>
      </c>
      <c r="L6" s="120" t="s">
        <v>189</v>
      </c>
      <c r="M6" s="120"/>
      <c r="N6" s="120"/>
      <c r="O6" s="120"/>
      <c r="P6" s="120"/>
    </row>
    <row r="7" spans="1:16" ht="15">
      <c r="A7" s="121"/>
      <c r="B7" s="121"/>
      <c r="C7" s="121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</row>
    <row r="8" spans="1:16" ht="15">
      <c r="A8" s="100" t="s">
        <v>128</v>
      </c>
      <c r="B8" s="100" t="s">
        <v>129</v>
      </c>
      <c r="C8" s="100" t="s">
        <v>75</v>
      </c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>
        <f>SUM(D8:O8)</f>
        <v>0</v>
      </c>
    </row>
    <row r="9" spans="1:16" ht="15">
      <c r="A9" s="100"/>
      <c r="B9" s="100" t="s">
        <v>130</v>
      </c>
      <c r="C9" s="100" t="s">
        <v>75</v>
      </c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>
        <f t="shared" ref="P9:P26" si="0">SUM(D9:O9)</f>
        <v>0</v>
      </c>
    </row>
    <row r="10" spans="1:16" ht="15">
      <c r="A10" s="100"/>
      <c r="B10" s="100" t="s">
        <v>130</v>
      </c>
      <c r="C10" s="100" t="s">
        <v>131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>
        <f t="shared" si="0"/>
        <v>0</v>
      </c>
    </row>
    <row r="11" spans="1:16" ht="15">
      <c r="A11" s="100" t="s">
        <v>132</v>
      </c>
      <c r="B11" s="100" t="s">
        <v>133</v>
      </c>
      <c r="C11" s="100" t="s">
        <v>75</v>
      </c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>
        <f t="shared" si="0"/>
        <v>0</v>
      </c>
    </row>
    <row r="12" spans="1:16" ht="15">
      <c r="A12" s="100"/>
      <c r="B12" s="100" t="s">
        <v>133</v>
      </c>
      <c r="C12" s="100" t="s">
        <v>131</v>
      </c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>
        <f t="shared" si="0"/>
        <v>0</v>
      </c>
    </row>
    <row r="13" spans="1:16" ht="15">
      <c r="A13" s="100"/>
      <c r="B13" s="100" t="s">
        <v>79</v>
      </c>
      <c r="C13" s="100" t="s">
        <v>75</v>
      </c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>
        <f t="shared" si="0"/>
        <v>0</v>
      </c>
    </row>
    <row r="14" spans="1:16" ht="15">
      <c r="A14" s="100"/>
      <c r="B14" s="100" t="s">
        <v>79</v>
      </c>
      <c r="C14" s="100" t="s">
        <v>131</v>
      </c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>
        <f t="shared" si="0"/>
        <v>0</v>
      </c>
    </row>
    <row r="15" spans="1:16" ht="15">
      <c r="A15" s="100"/>
      <c r="B15" s="100" t="s">
        <v>93</v>
      </c>
      <c r="C15" s="100" t="s">
        <v>75</v>
      </c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>
        <f t="shared" si="0"/>
        <v>0</v>
      </c>
    </row>
    <row r="16" spans="1:16" ht="15">
      <c r="A16" s="100"/>
      <c r="B16" s="100" t="s">
        <v>93</v>
      </c>
      <c r="C16" s="100" t="s">
        <v>131</v>
      </c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>
        <f t="shared" si="0"/>
        <v>0</v>
      </c>
    </row>
    <row r="17" spans="1:16" ht="15">
      <c r="A17" s="100"/>
      <c r="B17" s="100" t="s">
        <v>134</v>
      </c>
      <c r="C17" s="100" t="s">
        <v>75</v>
      </c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>
        <f t="shared" si="0"/>
        <v>0</v>
      </c>
    </row>
    <row r="18" spans="1:16" ht="15">
      <c r="A18" s="100" t="s">
        <v>135</v>
      </c>
      <c r="B18" s="100" t="s">
        <v>96</v>
      </c>
      <c r="C18" s="100" t="s">
        <v>75</v>
      </c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>
        <f t="shared" si="0"/>
        <v>0</v>
      </c>
    </row>
    <row r="19" spans="1:16" ht="15">
      <c r="A19" s="100"/>
      <c r="B19" s="100" t="s">
        <v>96</v>
      </c>
      <c r="C19" s="100" t="s">
        <v>131</v>
      </c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>
        <f t="shared" si="0"/>
        <v>0</v>
      </c>
    </row>
    <row r="20" spans="1:16" ht="15">
      <c r="A20" s="100"/>
      <c r="B20" s="100" t="s">
        <v>136</v>
      </c>
      <c r="C20" s="100" t="s">
        <v>75</v>
      </c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>
        <f t="shared" si="0"/>
        <v>0</v>
      </c>
    </row>
    <row r="21" spans="1:16" ht="15">
      <c r="A21" s="100"/>
      <c r="B21" s="100" t="s">
        <v>136</v>
      </c>
      <c r="C21" s="100" t="s">
        <v>131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>
        <f t="shared" si="0"/>
        <v>0</v>
      </c>
    </row>
    <row r="22" spans="1:16" ht="15">
      <c r="A22" s="100" t="s">
        <v>137</v>
      </c>
      <c r="B22" s="100" t="s">
        <v>137</v>
      </c>
      <c r="C22" s="100" t="s">
        <v>75</v>
      </c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>
        <f t="shared" si="0"/>
        <v>0</v>
      </c>
    </row>
    <row r="23" spans="1:16" ht="15">
      <c r="A23" s="100"/>
      <c r="B23" s="100" t="s">
        <v>137</v>
      </c>
      <c r="C23" s="100" t="s">
        <v>131</v>
      </c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>
        <f t="shared" si="0"/>
        <v>0</v>
      </c>
    </row>
    <row r="24" spans="1:16" ht="15">
      <c r="A24" s="125" t="s">
        <v>98</v>
      </c>
      <c r="B24" s="125" t="s">
        <v>98</v>
      </c>
      <c r="C24" s="125" t="s">
        <v>75</v>
      </c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>
        <f t="shared" si="0"/>
        <v>0</v>
      </c>
    </row>
    <row r="25" spans="1:16" ht="15">
      <c r="A25" s="125"/>
      <c r="B25" s="125" t="s">
        <v>98</v>
      </c>
      <c r="C25" s="100" t="s">
        <v>131</v>
      </c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>
        <f t="shared" si="0"/>
        <v>0</v>
      </c>
    </row>
    <row r="26" spans="1:16" ht="15">
      <c r="A26" s="125"/>
      <c r="B26" s="125"/>
      <c r="C26" s="125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>
        <f t="shared" si="0"/>
        <v>0</v>
      </c>
    </row>
    <row r="27" spans="1:16" ht="15.75" thickBot="1">
      <c r="A27" s="126"/>
      <c r="B27" s="126"/>
      <c r="C27" s="126"/>
      <c r="D27" s="127">
        <f>SUM(D8:D26)</f>
        <v>0</v>
      </c>
      <c r="E27" s="127">
        <f t="shared" ref="E27:O27" si="1">SUM(E8:E26)</f>
        <v>0</v>
      </c>
      <c r="F27" s="127">
        <f t="shared" si="1"/>
        <v>0</v>
      </c>
      <c r="G27" s="127">
        <f t="shared" si="1"/>
        <v>0</v>
      </c>
      <c r="H27" s="127">
        <f t="shared" si="1"/>
        <v>0</v>
      </c>
      <c r="I27" s="127">
        <f t="shared" si="1"/>
        <v>0</v>
      </c>
      <c r="J27" s="127">
        <f t="shared" si="1"/>
        <v>0</v>
      </c>
      <c r="K27" s="127">
        <f t="shared" si="1"/>
        <v>0</v>
      </c>
      <c r="L27" s="127">
        <f t="shared" si="1"/>
        <v>0</v>
      </c>
      <c r="M27" s="127">
        <f t="shared" si="1"/>
        <v>0</v>
      </c>
      <c r="N27" s="127">
        <f t="shared" si="1"/>
        <v>0</v>
      </c>
      <c r="O27" s="127">
        <f t="shared" si="1"/>
        <v>0</v>
      </c>
      <c r="P27" s="127">
        <f>SUM(P8:P26)</f>
        <v>0</v>
      </c>
    </row>
    <row r="28" spans="1:16" ht="15" thickTop="1"/>
    <row r="30" spans="1:16" ht="21">
      <c r="A30" s="80"/>
      <c r="B30" s="77"/>
      <c r="C30" s="77"/>
      <c r="D30" s="77"/>
      <c r="E30" s="77"/>
      <c r="F30" s="77"/>
      <c r="G30" s="77"/>
      <c r="H30" s="130"/>
    </row>
    <row r="31" spans="1:16" ht="21">
      <c r="A31" s="80"/>
      <c r="B31" s="77"/>
      <c r="C31" s="77"/>
      <c r="D31" s="77"/>
      <c r="E31" s="77"/>
      <c r="F31" s="77"/>
      <c r="G31" s="77"/>
      <c r="H31" s="78"/>
    </row>
    <row r="32" spans="1:16" ht="21">
      <c r="A32" s="80"/>
      <c r="B32" s="77"/>
      <c r="C32" s="77"/>
      <c r="D32" s="77"/>
      <c r="E32" s="77"/>
      <c r="F32" s="77"/>
      <c r="G32" s="77"/>
      <c r="H32" s="78"/>
    </row>
    <row r="33" spans="1:8" ht="21">
      <c r="A33" s="80"/>
      <c r="B33" s="77"/>
      <c r="C33" s="77"/>
      <c r="D33" s="77"/>
      <c r="E33" s="77"/>
      <c r="F33" s="77"/>
      <c r="G33" s="77"/>
      <c r="H33" s="78"/>
    </row>
    <row r="34" spans="1:8" ht="21">
      <c r="A34" s="80"/>
      <c r="B34" s="77"/>
      <c r="C34" s="77"/>
      <c r="D34" s="77"/>
      <c r="E34" s="77"/>
      <c r="F34" s="77"/>
      <c r="G34" s="77"/>
      <c r="H34" s="78"/>
    </row>
    <row r="35" spans="1:8" ht="21">
      <c r="A35" s="80"/>
      <c r="B35" s="77"/>
      <c r="C35" s="77"/>
      <c r="D35" s="77"/>
      <c r="E35" s="77"/>
      <c r="F35" s="77"/>
      <c r="G35" s="77"/>
      <c r="H35" s="78"/>
    </row>
  </sheetData>
  <mergeCells count="3">
    <mergeCell ref="A1:P1"/>
    <mergeCell ref="A2:P2"/>
    <mergeCell ref="A3:P3"/>
  </mergeCells>
  <pageMargins left="0" right="0" top="0.74803149606299213" bottom="0.35433070866141736" header="0" footer="0"/>
  <pageSetup paperSize="9" orientation="landscape" horizontalDpi="0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theme="9"/>
  </sheetPr>
  <dimension ref="A1:M43"/>
  <sheetViews>
    <sheetView view="pageBreakPreview" topLeftCell="B1" zoomScale="118" zoomScaleNormal="120" zoomScaleSheetLayoutView="118" workbookViewId="0">
      <selection activeCell="C33" sqref="C33"/>
    </sheetView>
  </sheetViews>
  <sheetFormatPr defaultColWidth="11.75" defaultRowHeight="14.25"/>
  <cols>
    <col min="1" max="1" width="22.875" style="174" customWidth="1"/>
    <col min="2" max="2" width="11.25" style="174" customWidth="1"/>
    <col min="3" max="3" width="11.625" style="174" customWidth="1"/>
    <col min="4" max="4" width="9.25" style="174" customWidth="1"/>
    <col min="5" max="5" width="8.375" style="174" customWidth="1"/>
    <col min="6" max="6" width="10.25" style="174" customWidth="1"/>
    <col min="7" max="7" width="9.5" style="174" customWidth="1"/>
    <col min="8" max="8" width="8.375" style="174" customWidth="1"/>
    <col min="9" max="9" width="10.375" style="174" customWidth="1"/>
    <col min="10" max="10" width="8.875" style="174" customWidth="1"/>
    <col min="11" max="11" width="8.375" style="174" customWidth="1"/>
    <col min="12" max="12" width="9.375" style="174" customWidth="1"/>
    <col min="13" max="13" width="10.375" style="174" customWidth="1"/>
    <col min="14" max="16384" width="11.75" style="174"/>
  </cols>
  <sheetData>
    <row r="1" spans="1:13" s="196" customFormat="1" ht="15.75">
      <c r="A1" s="314" t="s">
        <v>0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</row>
    <row r="2" spans="1:13" s="196" customFormat="1" ht="15.75">
      <c r="A2" s="314" t="s">
        <v>192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</row>
    <row r="3" spans="1:13" s="196" customFormat="1" ht="15.75">
      <c r="A3" s="314" t="s">
        <v>388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</row>
    <row r="4" spans="1:13" s="196" customFormat="1" ht="15">
      <c r="A4" s="206" t="s">
        <v>193</v>
      </c>
      <c r="B4" s="207" t="s">
        <v>124</v>
      </c>
      <c r="C4" s="207" t="s">
        <v>45</v>
      </c>
      <c r="D4" s="207" t="s">
        <v>177</v>
      </c>
      <c r="E4" s="207" t="s">
        <v>178</v>
      </c>
      <c r="F4" s="207" t="s">
        <v>90</v>
      </c>
      <c r="G4" s="207" t="s">
        <v>91</v>
      </c>
      <c r="H4" s="207" t="s">
        <v>179</v>
      </c>
      <c r="I4" s="207" t="s">
        <v>180</v>
      </c>
      <c r="J4" s="207" t="s">
        <v>181</v>
      </c>
      <c r="K4" s="207" t="s">
        <v>182</v>
      </c>
      <c r="L4" s="207" t="s">
        <v>174</v>
      </c>
      <c r="M4" s="207" t="s">
        <v>98</v>
      </c>
    </row>
    <row r="5" spans="1:13" s="196" customFormat="1" ht="15">
      <c r="A5" s="208"/>
      <c r="B5" s="209"/>
      <c r="C5" s="209"/>
      <c r="D5" s="209" t="s">
        <v>33</v>
      </c>
      <c r="E5" s="209" t="s">
        <v>185</v>
      </c>
      <c r="F5" s="209"/>
      <c r="G5" s="209"/>
      <c r="H5" s="209"/>
      <c r="I5" s="209" t="s">
        <v>186</v>
      </c>
      <c r="J5" s="209" t="s">
        <v>187</v>
      </c>
      <c r="K5" s="209" t="s">
        <v>188</v>
      </c>
      <c r="L5" s="209"/>
      <c r="M5" s="209"/>
    </row>
    <row r="6" spans="1:13" s="196" customFormat="1" ht="15">
      <c r="A6" s="192" t="s">
        <v>194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</row>
    <row r="7" spans="1:13" s="196" customFormat="1" ht="15">
      <c r="A7" s="197" t="s">
        <v>129</v>
      </c>
      <c r="B7" s="198">
        <v>2484720</v>
      </c>
      <c r="C7" s="198">
        <f>D7+E7+F7+G7+H7+I7+J7+K7+L7+M7</f>
        <v>2484720</v>
      </c>
      <c r="D7" s="123">
        <v>2484720</v>
      </c>
      <c r="E7" s="123"/>
      <c r="F7" s="128"/>
      <c r="G7" s="128"/>
      <c r="H7" s="128"/>
      <c r="I7" s="128"/>
      <c r="J7" s="128"/>
      <c r="K7" s="128"/>
      <c r="L7" s="128"/>
      <c r="M7" s="128"/>
    </row>
    <row r="8" spans="1:13" s="196" customFormat="1" ht="15">
      <c r="A8" s="197" t="s">
        <v>130</v>
      </c>
      <c r="B8" s="198">
        <v>11289280</v>
      </c>
      <c r="C8" s="198">
        <f t="shared" ref="C8:C18" si="0">D8+E8+F8+G8+H8+I8+J8+K8+L8+M8</f>
        <v>10595382</v>
      </c>
      <c r="D8" s="123">
        <v>4531372</v>
      </c>
      <c r="E8" s="123"/>
      <c r="F8" s="128">
        <v>3898670</v>
      </c>
      <c r="G8" s="128">
        <v>587160</v>
      </c>
      <c r="H8" s="128">
        <v>610080</v>
      </c>
      <c r="I8" s="128">
        <v>968100</v>
      </c>
      <c r="J8" s="128"/>
      <c r="K8" s="128"/>
      <c r="L8" s="128"/>
      <c r="M8" s="128"/>
    </row>
    <row r="9" spans="1:13" s="196" customFormat="1" ht="15">
      <c r="A9" s="197" t="s">
        <v>133</v>
      </c>
      <c r="B9" s="198">
        <v>656800</v>
      </c>
      <c r="C9" s="198">
        <f t="shared" si="0"/>
        <v>476520.5</v>
      </c>
      <c r="D9" s="123">
        <v>313832.5</v>
      </c>
      <c r="E9" s="123"/>
      <c r="F9" s="128">
        <v>71178</v>
      </c>
      <c r="G9" s="128"/>
      <c r="H9" s="128">
        <v>49510</v>
      </c>
      <c r="I9" s="128">
        <v>42000</v>
      </c>
      <c r="J9" s="128"/>
      <c r="K9" s="128"/>
      <c r="L9" s="128"/>
      <c r="M9" s="128"/>
    </row>
    <row r="10" spans="1:13" s="196" customFormat="1" ht="15">
      <c r="A10" s="197" t="s">
        <v>79</v>
      </c>
      <c r="B10" s="198">
        <v>6426500</v>
      </c>
      <c r="C10" s="198">
        <f t="shared" si="0"/>
        <v>5016393.2700000005</v>
      </c>
      <c r="D10" s="123">
        <v>1407163.36</v>
      </c>
      <c r="E10" s="123">
        <v>9158</v>
      </c>
      <c r="F10" s="128">
        <v>1838266</v>
      </c>
      <c r="G10" s="128">
        <v>215360.91</v>
      </c>
      <c r="H10" s="128">
        <v>87000</v>
      </c>
      <c r="I10" s="128">
        <v>589893</v>
      </c>
      <c r="J10" s="128">
        <v>234650</v>
      </c>
      <c r="K10" s="128">
        <v>500942</v>
      </c>
      <c r="L10" s="128">
        <v>133960</v>
      </c>
      <c r="M10" s="128"/>
    </row>
    <row r="11" spans="1:13" s="196" customFormat="1" ht="15">
      <c r="A11" s="197" t="s">
        <v>79</v>
      </c>
      <c r="B11" s="198"/>
      <c r="C11" s="198">
        <f t="shared" si="0"/>
        <v>72500</v>
      </c>
      <c r="D11" s="123"/>
      <c r="E11" s="123"/>
      <c r="F11" s="128"/>
      <c r="G11" s="128"/>
      <c r="H11" s="128">
        <v>60000</v>
      </c>
      <c r="I11" s="128"/>
      <c r="J11" s="128">
        <v>12500</v>
      </c>
      <c r="K11" s="128"/>
      <c r="L11" s="128"/>
      <c r="M11" s="128"/>
    </row>
    <row r="12" spans="1:13" s="196" customFormat="1" ht="15">
      <c r="A12" s="197" t="s">
        <v>93</v>
      </c>
      <c r="B12" s="198">
        <v>2169200</v>
      </c>
      <c r="C12" s="198">
        <f t="shared" si="0"/>
        <v>1646625.2799999998</v>
      </c>
      <c r="D12" s="123">
        <v>200347.38</v>
      </c>
      <c r="E12" s="123"/>
      <c r="F12" s="128">
        <v>1236624.3999999999</v>
      </c>
      <c r="G12" s="128">
        <v>161003.5</v>
      </c>
      <c r="H12" s="128">
        <v>16750</v>
      </c>
      <c r="I12" s="128">
        <v>31900</v>
      </c>
      <c r="J12" s="128"/>
      <c r="K12" s="128"/>
      <c r="L12" s="128"/>
      <c r="M12" s="128"/>
    </row>
    <row r="13" spans="1:13" s="196" customFormat="1" ht="15">
      <c r="A13" s="197" t="s">
        <v>134</v>
      </c>
      <c r="B13" s="198">
        <v>314000</v>
      </c>
      <c r="C13" s="198">
        <f t="shared" si="0"/>
        <v>229212.68</v>
      </c>
      <c r="D13" s="123">
        <v>229212.68</v>
      </c>
      <c r="E13" s="123"/>
      <c r="F13" s="128"/>
      <c r="G13" s="128"/>
      <c r="H13" s="128"/>
      <c r="I13" s="128"/>
      <c r="J13" s="128"/>
      <c r="K13" s="128"/>
      <c r="L13" s="128"/>
      <c r="M13" s="128"/>
    </row>
    <row r="14" spans="1:13" s="196" customFormat="1" ht="15">
      <c r="A14" s="197" t="s">
        <v>283</v>
      </c>
      <c r="B14" s="198">
        <v>96500</v>
      </c>
      <c r="C14" s="198">
        <f t="shared" si="0"/>
        <v>75500</v>
      </c>
      <c r="D14" s="123">
        <v>50000</v>
      </c>
      <c r="E14" s="123"/>
      <c r="F14" s="128">
        <v>6000</v>
      </c>
      <c r="G14" s="128">
        <v>8400</v>
      </c>
      <c r="H14" s="128"/>
      <c r="I14" s="128">
        <v>11100</v>
      </c>
      <c r="J14" s="128"/>
      <c r="K14" s="128"/>
      <c r="L14" s="128"/>
      <c r="M14" s="128"/>
    </row>
    <row r="15" spans="1:13" s="196" customFormat="1" ht="15">
      <c r="A15" s="197" t="s">
        <v>393</v>
      </c>
      <c r="B15" s="198">
        <v>10097112.27</v>
      </c>
      <c r="C15" s="198">
        <f t="shared" si="0"/>
        <v>9785066.5500000007</v>
      </c>
      <c r="D15" s="123"/>
      <c r="E15" s="123"/>
      <c r="F15" s="128"/>
      <c r="G15" s="128"/>
      <c r="H15" s="128"/>
      <c r="I15" s="128">
        <v>9785066.5500000007</v>
      </c>
      <c r="J15" s="128"/>
      <c r="K15" s="128"/>
      <c r="L15" s="128"/>
      <c r="M15" s="128"/>
    </row>
    <row r="16" spans="1:13" s="196" customFormat="1" ht="15">
      <c r="A16" s="197" t="s">
        <v>284</v>
      </c>
      <c r="B16" s="198"/>
      <c r="C16" s="198">
        <f t="shared" si="0"/>
        <v>2779000</v>
      </c>
      <c r="D16" s="123"/>
      <c r="E16" s="123"/>
      <c r="F16" s="128"/>
      <c r="G16" s="128"/>
      <c r="H16" s="128"/>
      <c r="I16" s="128">
        <v>2779000</v>
      </c>
      <c r="J16" s="128"/>
      <c r="K16" s="128"/>
      <c r="L16" s="128"/>
      <c r="M16" s="128"/>
    </row>
    <row r="17" spans="1:13" s="196" customFormat="1" ht="15">
      <c r="A17" s="197" t="s">
        <v>137</v>
      </c>
      <c r="B17" s="198">
        <v>2637387.73</v>
      </c>
      <c r="C17" s="198">
        <f t="shared" si="0"/>
        <v>2270387.73</v>
      </c>
      <c r="D17" s="123">
        <v>20000</v>
      </c>
      <c r="E17" s="123"/>
      <c r="F17" s="128">
        <v>1802000</v>
      </c>
      <c r="G17" s="128">
        <v>30000</v>
      </c>
      <c r="H17" s="128"/>
      <c r="I17" s="128">
        <v>418387.73</v>
      </c>
      <c r="J17" s="128"/>
      <c r="K17" s="128"/>
      <c r="L17" s="128"/>
      <c r="M17" s="128"/>
    </row>
    <row r="18" spans="1:13" s="196" customFormat="1" ht="15">
      <c r="A18" s="200" t="s">
        <v>98</v>
      </c>
      <c r="B18" s="199">
        <v>10948500</v>
      </c>
      <c r="C18" s="198">
        <f t="shared" si="0"/>
        <v>9398109.5</v>
      </c>
      <c r="D18" s="124"/>
      <c r="E18" s="124"/>
      <c r="F18" s="172"/>
      <c r="G18" s="172"/>
      <c r="H18" s="172"/>
      <c r="I18" s="172"/>
      <c r="J18" s="172"/>
      <c r="K18" s="172"/>
      <c r="L18" s="172"/>
      <c r="M18" s="172">
        <v>9398109.5</v>
      </c>
    </row>
    <row r="19" spans="1:13" s="196" customFormat="1" ht="15.75" thickBot="1">
      <c r="A19" s="193" t="s">
        <v>195</v>
      </c>
      <c r="B19" s="201">
        <f>SUM(B7:B18)</f>
        <v>47120000</v>
      </c>
      <c r="C19" s="201">
        <f>SUM(C7:C18)</f>
        <v>44829417.509999998</v>
      </c>
      <c r="D19" s="201">
        <f t="shared" ref="D19:M19" si="1">SUM(D7:D18)</f>
        <v>9236647.9199999999</v>
      </c>
      <c r="E19" s="201">
        <f t="shared" si="1"/>
        <v>9158</v>
      </c>
      <c r="F19" s="201">
        <f t="shared" si="1"/>
        <v>8852738.4000000004</v>
      </c>
      <c r="G19" s="201">
        <f t="shared" si="1"/>
        <v>1001924.41</v>
      </c>
      <c r="H19" s="201">
        <f t="shared" si="1"/>
        <v>823340</v>
      </c>
      <c r="I19" s="201">
        <f t="shared" si="1"/>
        <v>14625447.280000001</v>
      </c>
      <c r="J19" s="201">
        <f t="shared" si="1"/>
        <v>247150</v>
      </c>
      <c r="K19" s="201">
        <f t="shared" si="1"/>
        <v>500942</v>
      </c>
      <c r="L19" s="201">
        <f t="shared" si="1"/>
        <v>133960</v>
      </c>
      <c r="M19" s="201">
        <f t="shared" si="1"/>
        <v>9398109.5</v>
      </c>
    </row>
    <row r="20" spans="1:13" s="196" customFormat="1" ht="15.75" thickTop="1">
      <c r="A20" s="194" t="s">
        <v>196</v>
      </c>
      <c r="B20" s="202"/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/>
    </row>
    <row r="21" spans="1:13" s="196" customFormat="1" ht="15">
      <c r="A21" s="197" t="s">
        <v>197</v>
      </c>
      <c r="B21" s="198">
        <v>245120</v>
      </c>
      <c r="C21" s="198">
        <v>176698.93</v>
      </c>
      <c r="D21" s="198"/>
      <c r="E21" s="198"/>
      <c r="F21" s="198"/>
      <c r="G21" s="198"/>
      <c r="H21" s="198"/>
      <c r="I21" s="198"/>
      <c r="J21" s="198"/>
      <c r="K21" s="198"/>
      <c r="L21" s="198"/>
      <c r="M21" s="198"/>
    </row>
    <row r="22" spans="1:13" s="196" customFormat="1" ht="15">
      <c r="A22" s="198" t="s">
        <v>198</v>
      </c>
      <c r="B22" s="198">
        <v>404550</v>
      </c>
      <c r="C22" s="198">
        <v>214150</v>
      </c>
      <c r="D22" s="198"/>
      <c r="E22" s="198"/>
      <c r="F22" s="198"/>
      <c r="G22" s="198"/>
      <c r="H22" s="198"/>
      <c r="I22" s="198"/>
      <c r="J22" s="198"/>
      <c r="K22" s="198"/>
      <c r="L22" s="198"/>
      <c r="M22" s="198"/>
    </row>
    <row r="23" spans="1:13" s="196" customFormat="1" ht="15">
      <c r="A23" s="198" t="s">
        <v>199</v>
      </c>
      <c r="B23" s="198">
        <v>133000</v>
      </c>
      <c r="C23" s="198">
        <v>220107.36</v>
      </c>
      <c r="D23" s="198"/>
      <c r="E23" s="198"/>
      <c r="F23" s="198"/>
      <c r="G23" s="198"/>
      <c r="H23" s="198"/>
      <c r="I23" s="198"/>
      <c r="J23" s="198"/>
      <c r="K23" s="198"/>
      <c r="L23" s="198"/>
      <c r="M23" s="198"/>
    </row>
    <row r="24" spans="1:13" s="196" customFormat="1" ht="15">
      <c r="A24" s="198" t="s">
        <v>200</v>
      </c>
      <c r="B24" s="198">
        <v>10000</v>
      </c>
      <c r="C24" s="198">
        <v>4689.2</v>
      </c>
      <c r="D24" s="198"/>
      <c r="E24" s="198"/>
      <c r="F24" s="198"/>
      <c r="G24" s="198"/>
      <c r="H24" s="198"/>
      <c r="I24" s="198"/>
      <c r="J24" s="198"/>
      <c r="K24" s="198"/>
      <c r="L24" s="198"/>
      <c r="M24" s="198"/>
    </row>
    <row r="25" spans="1:13" s="196" customFormat="1" ht="15">
      <c r="A25" s="198" t="s">
        <v>201</v>
      </c>
      <c r="B25" s="198">
        <v>1000</v>
      </c>
      <c r="C25" s="198">
        <v>1513</v>
      </c>
      <c r="D25" s="198"/>
      <c r="E25" s="198"/>
      <c r="F25" s="198"/>
      <c r="G25" s="198"/>
      <c r="H25" s="198"/>
      <c r="I25" s="198"/>
      <c r="J25" s="198"/>
      <c r="K25" s="198"/>
      <c r="L25" s="198"/>
      <c r="M25" s="198"/>
    </row>
    <row r="26" spans="1:13" s="196" customFormat="1" ht="15">
      <c r="A26" s="198" t="s">
        <v>202</v>
      </c>
      <c r="B26" s="198">
        <v>16206330</v>
      </c>
      <c r="C26" s="198">
        <v>17801351.620000001</v>
      </c>
      <c r="D26" s="198"/>
      <c r="E26" s="198"/>
      <c r="F26" s="198"/>
      <c r="G26" s="198"/>
      <c r="H26" s="198"/>
      <c r="I26" s="198"/>
      <c r="J26" s="198"/>
      <c r="K26" s="198"/>
      <c r="L26" s="198"/>
      <c r="M26" s="198"/>
    </row>
    <row r="27" spans="1:13" s="196" customFormat="1" ht="15">
      <c r="A27" s="198" t="s">
        <v>203</v>
      </c>
      <c r="B27" s="198">
        <v>30120000</v>
      </c>
      <c r="C27" s="198">
        <v>25910938</v>
      </c>
      <c r="D27" s="198"/>
      <c r="E27" s="198"/>
      <c r="F27" s="198"/>
      <c r="G27" s="198"/>
      <c r="H27" s="198"/>
      <c r="I27" s="198"/>
      <c r="J27" s="198"/>
      <c r="K27" s="198"/>
      <c r="L27" s="198"/>
      <c r="M27" s="198"/>
    </row>
    <row r="28" spans="1:13" s="196" customFormat="1" ht="15">
      <c r="A28" s="200" t="s">
        <v>394</v>
      </c>
      <c r="B28" s="199"/>
      <c r="C28" s="199">
        <v>2851500</v>
      </c>
      <c r="D28" s="199"/>
      <c r="E28" s="199"/>
      <c r="F28" s="199"/>
      <c r="G28" s="199"/>
      <c r="H28" s="199"/>
      <c r="I28" s="199"/>
      <c r="J28" s="199"/>
      <c r="K28" s="199"/>
      <c r="L28" s="199"/>
      <c r="M28" s="199"/>
    </row>
    <row r="29" spans="1:13" s="196" customFormat="1" ht="15.75" thickBot="1">
      <c r="A29" s="193" t="s">
        <v>204</v>
      </c>
      <c r="B29" s="201">
        <f>SUM(B21:B28)</f>
        <v>47120000</v>
      </c>
      <c r="C29" s="201">
        <f>SUM(C21:C28)</f>
        <v>47180948.109999999</v>
      </c>
      <c r="D29" s="201"/>
      <c r="E29" s="201"/>
      <c r="F29" s="201"/>
      <c r="G29" s="201"/>
      <c r="H29" s="201"/>
      <c r="I29" s="201"/>
      <c r="J29" s="201"/>
      <c r="K29" s="201"/>
      <c r="L29" s="201"/>
      <c r="M29" s="201"/>
    </row>
    <row r="30" spans="1:13" s="196" customFormat="1" ht="16.5" thickTop="1" thickBot="1">
      <c r="A30" s="203"/>
      <c r="B30" s="204"/>
      <c r="C30" s="205">
        <f>C29-C19</f>
        <v>2351530.6000000015</v>
      </c>
      <c r="D30" s="204"/>
      <c r="E30" s="204"/>
      <c r="F30" s="204"/>
      <c r="G30" s="204"/>
      <c r="H30" s="204"/>
      <c r="I30" s="204"/>
      <c r="J30" s="204"/>
      <c r="K30" s="204"/>
      <c r="L30" s="204"/>
      <c r="M30" s="204"/>
    </row>
    <row r="31" spans="1:13" ht="15" thickTop="1"/>
    <row r="32" spans="1:13" ht="18.75">
      <c r="A32" s="148"/>
      <c r="B32" s="196"/>
      <c r="C32" s="231"/>
    </row>
    <row r="33" spans="1:8" ht="21">
      <c r="A33" s="229"/>
      <c r="B33" s="76"/>
      <c r="C33" s="230"/>
      <c r="D33" s="77"/>
      <c r="E33" s="77"/>
      <c r="F33" s="77"/>
      <c r="G33" s="77"/>
      <c r="H33" s="130"/>
    </row>
    <row r="43" spans="1:8">
      <c r="C43" s="174">
        <v>1</v>
      </c>
    </row>
  </sheetData>
  <mergeCells count="3">
    <mergeCell ref="A3:M3"/>
    <mergeCell ref="A1:M1"/>
    <mergeCell ref="A2:M2"/>
  </mergeCells>
  <pageMargins left="0.59055118110236227" right="0" top="0.15748031496062992" bottom="0" header="0" footer="0"/>
  <pageSetup paperSize="9" scale="85" orientation="landscape" horizontalDpi="0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theme="9"/>
  </sheetPr>
  <dimension ref="A1:H117"/>
  <sheetViews>
    <sheetView view="pageBreakPreview" topLeftCell="A97" zoomScaleSheetLayoutView="100" workbookViewId="0">
      <selection activeCell="D115" sqref="D115"/>
    </sheetView>
  </sheetViews>
  <sheetFormatPr defaultRowHeight="21"/>
  <cols>
    <col min="1" max="1" width="2.875" style="176" customWidth="1"/>
    <col min="2" max="2" width="5" style="285" customWidth="1"/>
    <col min="3" max="3" width="5.375" style="176" customWidth="1"/>
    <col min="4" max="4" width="44.875" style="176" customWidth="1"/>
    <col min="5" max="5" width="13.625" style="33" customWidth="1"/>
    <col min="6" max="6" width="9.5" style="177" customWidth="1"/>
    <col min="7" max="7" width="9" style="33"/>
    <col min="8" max="8" width="13.375" style="33" bestFit="1" customWidth="1"/>
    <col min="9" max="16384" width="9" style="176"/>
  </cols>
  <sheetData>
    <row r="1" spans="1:8">
      <c r="A1" s="315" t="s">
        <v>249</v>
      </c>
      <c r="B1" s="315"/>
      <c r="C1" s="315"/>
      <c r="D1" s="315"/>
      <c r="E1" s="315"/>
      <c r="F1" s="315"/>
    </row>
    <row r="2" spans="1:8">
      <c r="A2" s="175"/>
      <c r="B2" s="282"/>
      <c r="C2" s="175"/>
      <c r="D2" s="175"/>
      <c r="E2" s="316" t="s">
        <v>250</v>
      </c>
      <c r="F2" s="316"/>
      <c r="G2" s="175"/>
    </row>
    <row r="3" spans="1:8">
      <c r="A3" s="281" t="s">
        <v>287</v>
      </c>
      <c r="B3" s="281"/>
      <c r="C3" s="281"/>
      <c r="D3" s="281"/>
    </row>
    <row r="4" spans="1:8">
      <c r="A4" s="281" t="s">
        <v>251</v>
      </c>
      <c r="B4" s="281"/>
      <c r="C4" s="281"/>
      <c r="D4" s="281"/>
    </row>
    <row r="5" spans="1:8">
      <c r="A5" s="178"/>
      <c r="B5" s="283">
        <v>1.1000000000000001</v>
      </c>
      <c r="C5" s="178" t="s">
        <v>399</v>
      </c>
      <c r="D5" s="179"/>
      <c r="E5" s="43">
        <v>50000</v>
      </c>
      <c r="F5" s="180" t="s">
        <v>252</v>
      </c>
    </row>
    <row r="6" spans="1:8">
      <c r="A6" s="178"/>
      <c r="B6" s="283">
        <v>1.2</v>
      </c>
      <c r="C6" s="178" t="s">
        <v>400</v>
      </c>
      <c r="D6" s="179"/>
      <c r="E6" s="43">
        <v>11200</v>
      </c>
      <c r="F6" s="180"/>
    </row>
    <row r="7" spans="1:8">
      <c r="A7" s="178"/>
      <c r="B7" s="283">
        <v>1.3</v>
      </c>
      <c r="C7" s="178" t="s">
        <v>401</v>
      </c>
      <c r="D7" s="179"/>
      <c r="E7" s="43">
        <v>6000</v>
      </c>
      <c r="F7" s="180" t="s">
        <v>252</v>
      </c>
      <c r="H7" s="33">
        <f>2800*4</f>
        <v>11200</v>
      </c>
    </row>
    <row r="8" spans="1:8">
      <c r="A8" s="178"/>
      <c r="B8" s="283"/>
      <c r="C8" s="178"/>
      <c r="D8" s="179"/>
      <c r="E8" s="43"/>
      <c r="F8" s="180" t="s">
        <v>252</v>
      </c>
    </row>
    <row r="9" spans="1:8">
      <c r="A9" s="178"/>
      <c r="B9" s="283"/>
      <c r="C9" s="178"/>
      <c r="D9" s="181" t="s">
        <v>45</v>
      </c>
      <c r="E9" s="280">
        <f>SUM(E5:E8)</f>
        <v>67200</v>
      </c>
      <c r="F9" s="180" t="s">
        <v>252</v>
      </c>
    </row>
    <row r="10" spans="1:8">
      <c r="A10" s="290" t="s">
        <v>253</v>
      </c>
      <c r="B10" s="290"/>
      <c r="C10" s="290"/>
      <c r="D10" s="290"/>
      <c r="E10" s="43"/>
      <c r="F10" s="180"/>
    </row>
    <row r="11" spans="1:8" ht="16.5" customHeight="1">
      <c r="A11" s="182"/>
      <c r="B11" s="283">
        <v>2.1</v>
      </c>
      <c r="C11" s="178" t="s">
        <v>402</v>
      </c>
      <c r="D11" s="179"/>
      <c r="E11" s="43">
        <v>8300</v>
      </c>
      <c r="F11" s="180" t="s">
        <v>252</v>
      </c>
    </row>
    <row r="12" spans="1:8" ht="16.5" customHeight="1">
      <c r="A12" s="182"/>
      <c r="B12" s="283"/>
      <c r="C12" s="178"/>
      <c r="D12" s="179"/>
      <c r="E12" s="43"/>
      <c r="F12" s="180"/>
    </row>
    <row r="13" spans="1:8" ht="16.5" customHeight="1">
      <c r="A13" s="182"/>
      <c r="B13" s="283"/>
      <c r="C13" s="178"/>
      <c r="D13" s="179"/>
      <c r="E13" s="43"/>
      <c r="F13" s="180"/>
    </row>
    <row r="14" spans="1:8" ht="16.5" customHeight="1">
      <c r="A14" s="182"/>
      <c r="B14" s="283"/>
      <c r="C14" s="178"/>
      <c r="D14" s="179"/>
      <c r="E14" s="43"/>
      <c r="F14" s="180"/>
    </row>
    <row r="15" spans="1:8">
      <c r="A15" s="182"/>
      <c r="B15" s="283"/>
      <c r="C15" s="178"/>
      <c r="D15" s="181" t="s">
        <v>45</v>
      </c>
      <c r="E15" s="280">
        <f>SUM(E11:E13)</f>
        <v>8300</v>
      </c>
      <c r="F15" s="180" t="s">
        <v>252</v>
      </c>
    </row>
    <row r="16" spans="1:8">
      <c r="A16" s="182"/>
      <c r="B16" s="284"/>
      <c r="C16" s="178"/>
      <c r="D16" s="181"/>
      <c r="E16" s="183"/>
      <c r="F16" s="180"/>
    </row>
    <row r="17" spans="1:6">
      <c r="A17" s="182"/>
      <c r="B17" s="284"/>
      <c r="C17" s="178"/>
      <c r="D17" s="181"/>
      <c r="E17" s="183"/>
      <c r="F17" s="180"/>
    </row>
    <row r="18" spans="1:6">
      <c r="A18" s="182"/>
      <c r="B18" s="284"/>
      <c r="C18" s="178"/>
      <c r="D18" s="181"/>
      <c r="E18" s="183"/>
      <c r="F18" s="180"/>
    </row>
    <row r="19" spans="1:6">
      <c r="A19" s="182"/>
      <c r="B19" s="283"/>
      <c r="C19" s="178"/>
      <c r="D19" s="181"/>
      <c r="E19" s="43"/>
      <c r="F19" s="180"/>
    </row>
    <row r="20" spans="1:6">
      <c r="A20" s="182"/>
      <c r="B20" s="283"/>
      <c r="C20" s="178"/>
      <c r="D20" s="181"/>
      <c r="E20" s="43"/>
      <c r="F20" s="180"/>
    </row>
    <row r="21" spans="1:6">
      <c r="A21" s="182"/>
      <c r="B21" s="283"/>
      <c r="C21" s="178"/>
      <c r="D21" s="181"/>
      <c r="E21" s="43"/>
      <c r="F21" s="180"/>
    </row>
    <row r="22" spans="1:6">
      <c r="A22" s="182"/>
      <c r="B22" s="284"/>
      <c r="C22" s="178"/>
      <c r="D22" s="181"/>
      <c r="E22" s="183"/>
      <c r="F22" s="180"/>
    </row>
    <row r="23" spans="1:6">
      <c r="A23" s="182"/>
      <c r="B23" s="283"/>
      <c r="C23" s="178"/>
      <c r="D23" s="181"/>
      <c r="E23" s="183"/>
      <c r="F23" s="180"/>
    </row>
    <row r="24" spans="1:6">
      <c r="A24" s="182"/>
      <c r="B24" s="283"/>
      <c r="C24" s="178"/>
      <c r="D24" s="181"/>
      <c r="E24" s="183"/>
      <c r="F24" s="180"/>
    </row>
    <row r="25" spans="1:6">
      <c r="A25" s="182"/>
      <c r="B25" s="283"/>
      <c r="C25" s="178"/>
      <c r="D25" s="181"/>
      <c r="E25" s="183"/>
      <c r="F25" s="180"/>
    </row>
    <row r="26" spans="1:6" ht="21.75" thickBot="1">
      <c r="A26" s="182"/>
      <c r="B26" s="283"/>
      <c r="C26" s="178"/>
      <c r="D26" s="181" t="s">
        <v>68</v>
      </c>
      <c r="E26" s="48">
        <f>E9+E15</f>
        <v>75500</v>
      </c>
      <c r="F26" s="180" t="s">
        <v>252</v>
      </c>
    </row>
    <row r="27" spans="1:6" ht="21.75" thickTop="1">
      <c r="A27" s="182"/>
      <c r="B27" s="283"/>
      <c r="C27" s="178"/>
      <c r="D27" s="181"/>
      <c r="E27" s="183"/>
      <c r="F27" s="180"/>
    </row>
    <row r="28" spans="1:6">
      <c r="A28" s="182"/>
      <c r="B28" s="283"/>
      <c r="C28" s="178"/>
      <c r="D28" s="181"/>
      <c r="E28" s="183"/>
      <c r="F28" s="180"/>
    </row>
    <row r="29" spans="1:6">
      <c r="A29" s="182"/>
      <c r="B29" s="283"/>
      <c r="C29" s="178"/>
      <c r="D29" s="181"/>
      <c r="E29" s="183"/>
      <c r="F29" s="180"/>
    </row>
    <row r="30" spans="1:6">
      <c r="A30" s="182"/>
      <c r="B30" s="283"/>
      <c r="C30" s="178"/>
      <c r="D30" s="181"/>
      <c r="E30" s="183"/>
      <c r="F30" s="180"/>
    </row>
    <row r="31" spans="1:6">
      <c r="A31" s="182"/>
      <c r="B31" s="283"/>
      <c r="C31" s="178"/>
      <c r="D31" s="181"/>
      <c r="E31" s="183"/>
      <c r="F31" s="180"/>
    </row>
    <row r="32" spans="1:6">
      <c r="A32" s="182"/>
      <c r="B32" s="283"/>
      <c r="C32" s="178"/>
      <c r="D32" s="181"/>
      <c r="E32" s="183"/>
      <c r="F32" s="180"/>
    </row>
    <row r="33" spans="1:8">
      <c r="A33" s="182"/>
      <c r="B33" s="283"/>
      <c r="C33" s="178"/>
      <c r="D33" s="181"/>
      <c r="E33" s="183"/>
      <c r="F33" s="180"/>
    </row>
    <row r="34" spans="1:8">
      <c r="A34" s="182"/>
      <c r="B34" s="283"/>
      <c r="C34" s="178"/>
      <c r="D34" s="181"/>
      <c r="E34" s="183"/>
      <c r="F34" s="180"/>
    </row>
    <row r="35" spans="1:8">
      <c r="A35" s="182"/>
      <c r="B35" s="283"/>
      <c r="C35" s="178"/>
      <c r="D35" s="181"/>
      <c r="E35" s="183"/>
      <c r="F35" s="180"/>
    </row>
    <row r="36" spans="1:8">
      <c r="A36" s="315" t="s">
        <v>249</v>
      </c>
      <c r="B36" s="315"/>
      <c r="C36" s="315"/>
      <c r="D36" s="315"/>
      <c r="E36" s="315"/>
      <c r="F36" s="315"/>
    </row>
    <row r="37" spans="1:8">
      <c r="A37" s="281" t="s">
        <v>288</v>
      </c>
      <c r="B37" s="281"/>
      <c r="C37" s="281"/>
      <c r="D37" s="281"/>
      <c r="F37" s="276" t="s">
        <v>254</v>
      </c>
    </row>
    <row r="38" spans="1:8">
      <c r="F38" s="177" t="s">
        <v>252</v>
      </c>
    </row>
    <row r="39" spans="1:8">
      <c r="B39" s="285">
        <v>1.1000000000000001</v>
      </c>
      <c r="C39" s="176" t="s">
        <v>403</v>
      </c>
      <c r="E39" s="33">
        <v>4929770.55</v>
      </c>
    </row>
    <row r="40" spans="1:8">
      <c r="B40" s="285">
        <v>1.2</v>
      </c>
      <c r="C40" s="176" t="s">
        <v>404</v>
      </c>
      <c r="E40" s="33">
        <v>199000</v>
      </c>
    </row>
    <row r="41" spans="1:8">
      <c r="B41" s="285">
        <v>1.3</v>
      </c>
      <c r="C41" s="176" t="s">
        <v>405</v>
      </c>
      <c r="E41" s="33">
        <v>298000</v>
      </c>
    </row>
    <row r="42" spans="1:8">
      <c r="B42" s="285">
        <v>1.4</v>
      </c>
      <c r="C42" s="176" t="s">
        <v>406</v>
      </c>
      <c r="E42" s="33">
        <v>299000</v>
      </c>
    </row>
    <row r="43" spans="1:8">
      <c r="B43" s="285">
        <v>1.5</v>
      </c>
      <c r="C43" s="176" t="s">
        <v>407</v>
      </c>
      <c r="E43" s="33">
        <v>178000</v>
      </c>
    </row>
    <row r="44" spans="1:8">
      <c r="B44" s="285">
        <v>1.6</v>
      </c>
      <c r="C44" s="176" t="s">
        <v>408</v>
      </c>
      <c r="E44" s="33">
        <v>464000</v>
      </c>
    </row>
    <row r="45" spans="1:8">
      <c r="B45" s="285">
        <v>1.7</v>
      </c>
      <c r="C45" s="176" t="s">
        <v>409</v>
      </c>
      <c r="E45" s="33">
        <v>506000</v>
      </c>
    </row>
    <row r="46" spans="1:8">
      <c r="B46" s="285">
        <v>1.8</v>
      </c>
      <c r="C46" s="176" t="s">
        <v>410</v>
      </c>
      <c r="E46" s="33">
        <v>213500</v>
      </c>
    </row>
    <row r="47" spans="1:8">
      <c r="B47" s="285">
        <v>1.9</v>
      </c>
      <c r="C47" s="176" t="s">
        <v>411</v>
      </c>
      <c r="E47" s="33">
        <v>365500</v>
      </c>
      <c r="H47" s="33">
        <v>9785066.5500000007</v>
      </c>
    </row>
    <row r="48" spans="1:8">
      <c r="B48" s="285" t="s">
        <v>412</v>
      </c>
      <c r="C48" s="176" t="s">
        <v>413</v>
      </c>
      <c r="E48" s="33">
        <v>489796</v>
      </c>
      <c r="H48" s="33">
        <v>-8887566.5500000007</v>
      </c>
    </row>
    <row r="49" spans="1:8">
      <c r="B49" s="285" t="s">
        <v>414</v>
      </c>
      <c r="C49" s="292" t="s">
        <v>415</v>
      </c>
      <c r="D49" s="292"/>
      <c r="E49" s="33">
        <v>944000</v>
      </c>
    </row>
    <row r="50" spans="1:8">
      <c r="B50" s="285" t="s">
        <v>418</v>
      </c>
      <c r="C50" s="161" t="s">
        <v>299</v>
      </c>
      <c r="D50" s="293"/>
      <c r="E50" s="33">
        <v>299500</v>
      </c>
    </row>
    <row r="51" spans="1:8">
      <c r="B51" s="285" t="s">
        <v>419</v>
      </c>
      <c r="C51" s="161" t="s">
        <v>300</v>
      </c>
      <c r="D51" s="293"/>
      <c r="E51" s="33">
        <v>299400</v>
      </c>
    </row>
    <row r="52" spans="1:8">
      <c r="B52" s="285" t="s">
        <v>420</v>
      </c>
      <c r="C52" s="161" t="s">
        <v>301</v>
      </c>
      <c r="D52" s="293"/>
      <c r="E52" s="33">
        <v>299600</v>
      </c>
    </row>
    <row r="53" spans="1:8">
      <c r="E53" s="33">
        <f>SUM(E50:E52)</f>
        <v>898500</v>
      </c>
    </row>
    <row r="56" spans="1:8" ht="21.75" thickBot="1">
      <c r="E56" s="48">
        <f>SUM(E39:E52)</f>
        <v>9785066.5500000007</v>
      </c>
    </row>
    <row r="57" spans="1:8" ht="21.75" thickTop="1">
      <c r="H57" s="33">
        <v>441563</v>
      </c>
    </row>
    <row r="58" spans="1:8">
      <c r="A58" s="188"/>
      <c r="B58" s="289"/>
      <c r="C58" s="188"/>
      <c r="D58" s="188"/>
      <c r="E58" s="43"/>
      <c r="F58" s="189"/>
      <c r="H58" s="33">
        <v>1177500</v>
      </c>
    </row>
    <row r="59" spans="1:8">
      <c r="H59" s="33">
        <v>1471875</v>
      </c>
    </row>
    <row r="70" spans="1:8">
      <c r="A70" s="315" t="s">
        <v>255</v>
      </c>
      <c r="B70" s="315"/>
      <c r="C70" s="315"/>
      <c r="D70" s="315"/>
      <c r="E70" s="315"/>
      <c r="F70" s="315"/>
    </row>
    <row r="71" spans="1:8">
      <c r="F71" s="276" t="s">
        <v>275</v>
      </c>
      <c r="H71" s="33">
        <v>834062</v>
      </c>
    </row>
    <row r="72" spans="1:8">
      <c r="A72" s="281" t="s">
        <v>289</v>
      </c>
      <c r="B72" s="281"/>
      <c r="C72" s="281"/>
      <c r="D72" s="281"/>
      <c r="F72" s="177" t="s">
        <v>252</v>
      </c>
      <c r="H72" s="33">
        <f>SUM(H57:H71)</f>
        <v>3925000</v>
      </c>
    </row>
    <row r="73" spans="1:8">
      <c r="B73" s="285">
        <v>1.1000000000000001</v>
      </c>
      <c r="C73" s="176" t="s">
        <v>404</v>
      </c>
      <c r="E73" s="33">
        <v>2000000</v>
      </c>
    </row>
    <row r="74" spans="1:8">
      <c r="B74" s="285">
        <v>1.2</v>
      </c>
      <c r="C74" s="176" t="s">
        <v>416</v>
      </c>
    </row>
    <row r="75" spans="1:8">
      <c r="C75" s="176" t="s">
        <v>417</v>
      </c>
      <c r="E75" s="33">
        <v>779000</v>
      </c>
    </row>
    <row r="76" spans="1:8">
      <c r="D76" s="181"/>
      <c r="E76" s="183"/>
      <c r="F76" s="189"/>
      <c r="H76" s="33">
        <f>E79+E56</f>
        <v>12564066.550000001</v>
      </c>
    </row>
    <row r="77" spans="1:8">
      <c r="D77" s="181"/>
      <c r="E77" s="43"/>
      <c r="H77" s="33">
        <f>ผลการดำเนินงานจากรายรับ!C15+ผลการดำเนินงานจากรายรับ!C16</f>
        <v>12564066.550000001</v>
      </c>
    </row>
    <row r="78" spans="1:8">
      <c r="D78" s="181"/>
      <c r="E78" s="183"/>
    </row>
    <row r="79" spans="1:8" ht="21.75" thickBot="1">
      <c r="D79" s="181"/>
      <c r="E79" s="48">
        <f>SUM(E73:E78)</f>
        <v>2779000</v>
      </c>
    </row>
    <row r="80" spans="1:8" ht="21.75" thickTop="1">
      <c r="D80" s="181"/>
      <c r="E80" s="183"/>
    </row>
    <row r="81" spans="1:5">
      <c r="A81" s="281"/>
      <c r="B81" s="281"/>
      <c r="E81" s="183"/>
    </row>
    <row r="82" spans="1:5">
      <c r="B82" s="282"/>
      <c r="E82" s="183"/>
    </row>
    <row r="83" spans="1:5">
      <c r="D83" s="181"/>
      <c r="E83" s="43"/>
    </row>
    <row r="84" spans="1:5">
      <c r="D84" s="181"/>
      <c r="E84" s="183"/>
    </row>
    <row r="85" spans="1:5">
      <c r="D85" s="181"/>
      <c r="E85" s="183"/>
    </row>
    <row r="86" spans="1:5">
      <c r="D86" s="181"/>
      <c r="E86" s="183"/>
    </row>
    <row r="87" spans="1:5">
      <c r="D87" s="181" t="s">
        <v>68</v>
      </c>
      <c r="E87" s="183">
        <f>E79+E85</f>
        <v>2779000</v>
      </c>
    </row>
    <row r="88" spans="1:5">
      <c r="D88" s="181"/>
      <c r="E88" s="183"/>
    </row>
    <row r="89" spans="1:5">
      <c r="D89" s="181"/>
      <c r="E89" s="183"/>
    </row>
    <row r="90" spans="1:5">
      <c r="D90" s="181"/>
      <c r="E90" s="183"/>
    </row>
    <row r="91" spans="1:5">
      <c r="D91" s="181"/>
      <c r="E91" s="183"/>
    </row>
    <row r="92" spans="1:5">
      <c r="D92" s="181"/>
      <c r="E92" s="183"/>
    </row>
    <row r="93" spans="1:5">
      <c r="D93" s="181"/>
      <c r="E93" s="183"/>
    </row>
    <row r="94" spans="1:5">
      <c r="D94" s="181"/>
      <c r="E94" s="183"/>
    </row>
    <row r="95" spans="1:5">
      <c r="D95" s="181"/>
      <c r="E95" s="183"/>
    </row>
    <row r="96" spans="1:5">
      <c r="D96" s="181"/>
      <c r="E96" s="183"/>
    </row>
    <row r="97" spans="1:6">
      <c r="D97" s="181"/>
      <c r="E97" s="183"/>
    </row>
    <row r="98" spans="1:6">
      <c r="D98" s="181"/>
      <c r="E98" s="183"/>
    </row>
    <row r="99" spans="1:6">
      <c r="D99" s="181"/>
      <c r="E99" s="183"/>
    </row>
    <row r="100" spans="1:6">
      <c r="D100" s="181"/>
      <c r="E100" s="183"/>
    </row>
    <row r="101" spans="1:6">
      <c r="D101" s="181"/>
      <c r="E101" s="183"/>
    </row>
    <row r="102" spans="1:6">
      <c r="D102" s="181"/>
      <c r="E102" s="183"/>
    </row>
    <row r="103" spans="1:6">
      <c r="D103" s="181"/>
      <c r="E103" s="183"/>
    </row>
    <row r="104" spans="1:6">
      <c r="A104" s="315" t="s">
        <v>255</v>
      </c>
      <c r="B104" s="315"/>
      <c r="C104" s="315"/>
      <c r="D104" s="315"/>
      <c r="E104" s="315"/>
      <c r="F104" s="315"/>
    </row>
    <row r="105" spans="1:6">
      <c r="A105" s="184"/>
      <c r="B105" s="286"/>
      <c r="C105" s="184"/>
      <c r="D105" s="184"/>
      <c r="E105" s="317" t="s">
        <v>423</v>
      </c>
      <c r="F105" s="317"/>
    </row>
    <row r="106" spans="1:6" ht="24.75">
      <c r="A106" s="77"/>
      <c r="B106" s="287"/>
      <c r="C106" s="185"/>
      <c r="D106" s="186"/>
      <c r="E106" s="183"/>
    </row>
    <row r="107" spans="1:6">
      <c r="A107" s="291" t="s">
        <v>286</v>
      </c>
      <c r="B107" s="291"/>
      <c r="C107" s="291"/>
      <c r="D107" s="291"/>
      <c r="E107" s="43"/>
      <c r="F107" s="80"/>
    </row>
    <row r="108" spans="1:6">
      <c r="A108" s="76"/>
      <c r="B108" s="288"/>
      <c r="C108" s="37" t="s">
        <v>256</v>
      </c>
      <c r="D108" s="41"/>
      <c r="E108" s="43">
        <v>779000</v>
      </c>
      <c r="F108" s="80" t="s">
        <v>252</v>
      </c>
    </row>
    <row r="109" spans="1:6">
      <c r="A109" s="76"/>
      <c r="B109" s="288"/>
      <c r="C109" s="37" t="s">
        <v>257</v>
      </c>
      <c r="D109" s="41"/>
      <c r="E109" s="43">
        <v>12500</v>
      </c>
      <c r="F109" s="80"/>
    </row>
    <row r="110" spans="1:6">
      <c r="A110" s="76"/>
      <c r="B110" s="288"/>
      <c r="C110" s="37" t="s">
        <v>421</v>
      </c>
      <c r="D110" s="41"/>
      <c r="E110" s="43">
        <v>2000000</v>
      </c>
      <c r="F110" s="80"/>
    </row>
    <row r="111" spans="1:6">
      <c r="A111" s="76"/>
      <c r="B111" s="288"/>
      <c r="C111" s="37" t="s">
        <v>422</v>
      </c>
      <c r="D111" s="41"/>
      <c r="E111" s="43">
        <v>60000</v>
      </c>
      <c r="F111" s="80"/>
    </row>
    <row r="112" spans="1:6">
      <c r="A112" s="76"/>
      <c r="B112" s="288"/>
      <c r="C112" s="37"/>
      <c r="D112" s="41"/>
      <c r="E112" s="43"/>
      <c r="F112" s="80"/>
    </row>
    <row r="113" spans="1:8" ht="21.75" thickBot="1">
      <c r="A113" s="77"/>
      <c r="B113" s="287"/>
      <c r="C113" s="77"/>
      <c r="D113" s="187" t="s">
        <v>45</v>
      </c>
      <c r="E113" s="48">
        <f>SUM(E108:E111)</f>
        <v>2851500</v>
      </c>
      <c r="F113" s="187" t="s">
        <v>252</v>
      </c>
      <c r="H113" s="33">
        <v>245600</v>
      </c>
    </row>
    <row r="114" spans="1:8" ht="21.75" thickTop="1">
      <c r="A114" s="188"/>
      <c r="B114" s="289"/>
      <c r="C114" s="188"/>
      <c r="D114" s="188"/>
      <c r="E114" s="43"/>
      <c r="F114" s="189"/>
      <c r="H114" s="33">
        <v>88900</v>
      </c>
    </row>
    <row r="115" spans="1:8">
      <c r="A115" s="188"/>
      <c r="B115" s="289"/>
      <c r="C115" s="188"/>
      <c r="D115" s="188"/>
      <c r="E115" s="43"/>
      <c r="F115" s="189"/>
      <c r="H115" s="33">
        <v>7000</v>
      </c>
    </row>
    <row r="116" spans="1:8" ht="23.25">
      <c r="D116" s="190"/>
      <c r="E116" s="191"/>
      <c r="F116" s="190"/>
      <c r="H116" s="33">
        <v>11620</v>
      </c>
    </row>
    <row r="117" spans="1:8" ht="23.25">
      <c r="D117" s="190"/>
      <c r="E117" s="191"/>
      <c r="F117" s="190"/>
      <c r="H117" s="33">
        <f>SUM(H113:H116)</f>
        <v>353120</v>
      </c>
    </row>
  </sheetData>
  <mergeCells count="6">
    <mergeCell ref="A70:F70"/>
    <mergeCell ref="A1:F1"/>
    <mergeCell ref="E2:F2"/>
    <mergeCell ref="A104:F104"/>
    <mergeCell ref="E105:F105"/>
    <mergeCell ref="A36:F3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O25"/>
  <sheetViews>
    <sheetView topLeftCell="A16" workbookViewId="0">
      <selection activeCell="D26" sqref="D26"/>
    </sheetView>
  </sheetViews>
  <sheetFormatPr defaultRowHeight="14.25"/>
  <cols>
    <col min="1" max="1" width="7.875" customWidth="1"/>
    <col min="2" max="2" width="12.5" customWidth="1"/>
    <col min="4" max="4" width="10" customWidth="1"/>
    <col min="5" max="5" width="8.125" customWidth="1"/>
    <col min="6" max="6" width="9.375" customWidth="1"/>
    <col min="7" max="7" width="9.625" customWidth="1"/>
    <col min="8" max="8" width="8.125" customWidth="1"/>
    <col min="9" max="9" width="10" customWidth="1"/>
    <col min="10" max="10" width="8.25" customWidth="1"/>
    <col min="11" max="11" width="8.375" customWidth="1"/>
    <col min="12" max="12" width="8.5" customWidth="1"/>
    <col min="13" max="13" width="10.125" customWidth="1"/>
    <col min="14" max="14" width="11" customWidth="1"/>
    <col min="15" max="15" width="11.375" bestFit="1" customWidth="1"/>
  </cols>
  <sheetData>
    <row r="1" spans="1:15" ht="15.75">
      <c r="A1" s="313" t="s">
        <v>0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</row>
    <row r="2" spans="1:15" ht="15.75">
      <c r="A2" s="313" t="s">
        <v>205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</row>
    <row r="3" spans="1:15" ht="15.75">
      <c r="A3" s="313" t="s">
        <v>388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</row>
    <row r="4" spans="1:15" ht="15.75">
      <c r="A4" s="110"/>
      <c r="B4" s="110"/>
      <c r="C4" s="110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</row>
    <row r="5" spans="1:15" ht="15.75">
      <c r="A5" s="94" t="s">
        <v>123</v>
      </c>
      <c r="B5" s="94" t="s">
        <v>72</v>
      </c>
      <c r="C5" s="94" t="s">
        <v>69</v>
      </c>
      <c r="D5" s="95" t="s">
        <v>177</v>
      </c>
      <c r="E5" s="95" t="s">
        <v>178</v>
      </c>
      <c r="F5" s="95" t="s">
        <v>90</v>
      </c>
      <c r="G5" s="95" t="s">
        <v>91</v>
      </c>
      <c r="H5" s="95" t="s">
        <v>179</v>
      </c>
      <c r="I5" s="95" t="s">
        <v>180</v>
      </c>
      <c r="J5" s="95" t="s">
        <v>181</v>
      </c>
      <c r="K5" s="95" t="s">
        <v>182</v>
      </c>
      <c r="L5" s="95" t="s">
        <v>174</v>
      </c>
      <c r="M5" s="95" t="s">
        <v>98</v>
      </c>
      <c r="N5" s="95" t="s">
        <v>45</v>
      </c>
    </row>
    <row r="6" spans="1:15" ht="15.75">
      <c r="A6" s="96"/>
      <c r="B6" s="96"/>
      <c r="C6" s="96"/>
      <c r="D6" s="97" t="s">
        <v>33</v>
      </c>
      <c r="E6" s="97" t="s">
        <v>185</v>
      </c>
      <c r="F6" s="97"/>
      <c r="G6" s="97"/>
      <c r="H6" s="97"/>
      <c r="I6" s="97" t="s">
        <v>186</v>
      </c>
      <c r="J6" s="97" t="s">
        <v>187</v>
      </c>
      <c r="K6" s="97" t="s">
        <v>188</v>
      </c>
      <c r="L6" s="97"/>
      <c r="M6" s="97"/>
      <c r="N6" s="97"/>
    </row>
    <row r="7" spans="1:15" ht="15.75">
      <c r="A7" s="98"/>
      <c r="B7" s="98"/>
      <c r="C7" s="98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15" ht="15.75">
      <c r="A8" s="129" t="s">
        <v>128</v>
      </c>
      <c r="B8" s="129" t="s">
        <v>129</v>
      </c>
      <c r="C8" s="129" t="s">
        <v>75</v>
      </c>
      <c r="D8" s="269">
        <f>2484720</f>
        <v>2484720</v>
      </c>
      <c r="E8" s="269"/>
      <c r="F8" s="269"/>
      <c r="G8" s="269"/>
      <c r="H8" s="269"/>
      <c r="I8" s="269"/>
      <c r="J8" s="269"/>
      <c r="K8" s="269"/>
      <c r="L8" s="269"/>
      <c r="M8" s="269"/>
      <c r="N8" s="101">
        <f>SUM(D8:M8)</f>
        <v>2484720</v>
      </c>
    </row>
    <row r="9" spans="1:15" ht="15.75">
      <c r="A9" s="129"/>
      <c r="B9" s="129" t="s">
        <v>130</v>
      </c>
      <c r="C9" s="129" t="s">
        <v>75</v>
      </c>
      <c r="D9" s="269">
        <f>4973000-10000</f>
        <v>4963000</v>
      </c>
      <c r="E9" s="269"/>
      <c r="F9" s="269">
        <f>4202160-80000</f>
        <v>4122160</v>
      </c>
      <c r="G9" s="269">
        <f>594000</f>
        <v>594000</v>
      </c>
      <c r="H9" s="269">
        <f>630000-10000</f>
        <v>620000</v>
      </c>
      <c r="I9" s="269">
        <f>986320+3800</f>
        <v>990120</v>
      </c>
      <c r="J9" s="269"/>
      <c r="K9" s="269"/>
      <c r="L9" s="269"/>
      <c r="M9" s="269"/>
      <c r="N9" s="101">
        <f t="shared" ref="N9:N17" si="0">SUM(D9:M9)</f>
        <v>11289280</v>
      </c>
    </row>
    <row r="10" spans="1:15" ht="15.75">
      <c r="A10" s="129" t="s">
        <v>132</v>
      </c>
      <c r="B10" s="129" t="s">
        <v>133</v>
      </c>
      <c r="C10" s="129" t="s">
        <v>75</v>
      </c>
      <c r="D10" s="269">
        <f>422800+2000-22000</f>
        <v>402800</v>
      </c>
      <c r="E10" s="269"/>
      <c r="F10" s="269">
        <f>107000</f>
        <v>107000</v>
      </c>
      <c r="G10" s="269">
        <f>8000</f>
        <v>8000</v>
      </c>
      <c r="H10" s="269">
        <f>82000</f>
        <v>82000</v>
      </c>
      <c r="I10" s="269">
        <f>57000</f>
        <v>57000</v>
      </c>
      <c r="J10" s="269"/>
      <c r="K10" s="269"/>
      <c r="L10" s="269"/>
      <c r="M10" s="269"/>
      <c r="N10" s="101">
        <f t="shared" si="0"/>
        <v>656800</v>
      </c>
      <c r="O10" s="139">
        <f>N10-656800</f>
        <v>0</v>
      </c>
    </row>
    <row r="11" spans="1:15" ht="15.75">
      <c r="A11" s="129"/>
      <c r="B11" s="129" t="s">
        <v>79</v>
      </c>
      <c r="C11" s="129" t="s">
        <v>75</v>
      </c>
      <c r="D11" s="269">
        <f>1676000-20000+14000</f>
        <v>1670000</v>
      </c>
      <c r="E11" s="269">
        <f>50000-10000</f>
        <v>40000</v>
      </c>
      <c r="F11" s="269">
        <f>2195000+55000</f>
        <v>2250000</v>
      </c>
      <c r="G11" s="269">
        <f>350000-3500</f>
        <v>346500</v>
      </c>
      <c r="H11" s="269">
        <f>130000</f>
        <v>130000</v>
      </c>
      <c r="I11" s="269">
        <f>670000+50000</f>
        <v>720000</v>
      </c>
      <c r="J11" s="269">
        <f>375000+120000</f>
        <v>495000</v>
      </c>
      <c r="K11" s="269">
        <f>575000</f>
        <v>575000</v>
      </c>
      <c r="L11" s="269">
        <f>60000+140000</f>
        <v>200000</v>
      </c>
      <c r="M11" s="269"/>
      <c r="N11" s="101">
        <f t="shared" si="0"/>
        <v>6426500</v>
      </c>
    </row>
    <row r="12" spans="1:15" ht="15.75">
      <c r="A12" s="129"/>
      <c r="B12" s="129" t="s">
        <v>93</v>
      </c>
      <c r="C12" s="129" t="s">
        <v>75</v>
      </c>
      <c r="D12" s="269">
        <f>305000-12000+5000</f>
        <v>298000</v>
      </c>
      <c r="E12" s="269"/>
      <c r="F12" s="269">
        <f>1395000</f>
        <v>1395000</v>
      </c>
      <c r="G12" s="269">
        <f>220000</f>
        <v>220000</v>
      </c>
      <c r="H12" s="269">
        <f>35000</f>
        <v>35000</v>
      </c>
      <c r="I12" s="269">
        <f>275000-53800</f>
        <v>221200</v>
      </c>
      <c r="J12" s="269"/>
      <c r="K12" s="269"/>
      <c r="L12" s="269"/>
      <c r="M12" s="269"/>
      <c r="N12" s="101">
        <f t="shared" si="0"/>
        <v>2169200</v>
      </c>
    </row>
    <row r="13" spans="1:15" ht="15.75">
      <c r="A13" s="129"/>
      <c r="B13" s="129" t="s">
        <v>134</v>
      </c>
      <c r="C13" s="129" t="s">
        <v>75</v>
      </c>
      <c r="D13" s="269">
        <f>314000</f>
        <v>314000</v>
      </c>
      <c r="E13" s="269"/>
      <c r="F13" s="269"/>
      <c r="G13" s="269"/>
      <c r="H13" s="269"/>
      <c r="I13" s="269"/>
      <c r="J13" s="269"/>
      <c r="K13" s="269"/>
      <c r="L13" s="269"/>
      <c r="M13" s="269"/>
      <c r="N13" s="101">
        <f t="shared" si="0"/>
        <v>314000</v>
      </c>
    </row>
    <row r="14" spans="1:15" ht="15.75">
      <c r="A14" s="129" t="s">
        <v>135</v>
      </c>
      <c r="B14" s="129" t="s">
        <v>96</v>
      </c>
      <c r="C14" s="129" t="s">
        <v>75</v>
      </c>
      <c r="D14" s="269">
        <f>65000</f>
        <v>65000</v>
      </c>
      <c r="E14" s="269"/>
      <c r="F14" s="269">
        <f>6000</f>
        <v>6000</v>
      </c>
      <c r="G14" s="269">
        <f>8400</f>
        <v>8400</v>
      </c>
      <c r="H14" s="269"/>
      <c r="I14" s="269">
        <f>17100</f>
        <v>17100</v>
      </c>
      <c r="J14" s="269"/>
      <c r="K14" s="269"/>
      <c r="L14" s="269"/>
      <c r="M14" s="269"/>
      <c r="N14" s="101">
        <f t="shared" si="0"/>
        <v>96500</v>
      </c>
    </row>
    <row r="15" spans="1:15" ht="15.75">
      <c r="A15" s="129"/>
      <c r="B15" s="129" t="s">
        <v>136</v>
      </c>
      <c r="C15" s="129" t="s">
        <v>75</v>
      </c>
      <c r="D15" s="269"/>
      <c r="E15" s="269"/>
      <c r="F15" s="269">
        <f>150000</f>
        <v>150000</v>
      </c>
      <c r="G15" s="269"/>
      <c r="H15" s="269"/>
      <c r="I15" s="269">
        <f>10365500-418387.73</f>
        <v>9947112.2699999996</v>
      </c>
      <c r="J15" s="269"/>
      <c r="K15" s="269"/>
      <c r="L15" s="269"/>
      <c r="M15" s="269"/>
      <c r="N15" s="101">
        <f t="shared" si="0"/>
        <v>10097112.27</v>
      </c>
      <c r="O15" s="139">
        <f>N15-10097112.27</f>
        <v>0</v>
      </c>
    </row>
    <row r="16" spans="1:15" ht="15.75">
      <c r="A16" s="129" t="s">
        <v>137</v>
      </c>
      <c r="B16" s="129" t="s">
        <v>137</v>
      </c>
      <c r="C16" s="129" t="s">
        <v>75</v>
      </c>
      <c r="D16" s="269">
        <f>20000</f>
        <v>20000</v>
      </c>
      <c r="E16" s="269"/>
      <c r="F16" s="269">
        <f>1780000+25000</f>
        <v>1805000</v>
      </c>
      <c r="G16" s="269">
        <f>180000</f>
        <v>180000</v>
      </c>
      <c r="H16" s="269"/>
      <c r="I16" s="269">
        <v>418387.73</v>
      </c>
      <c r="J16" s="269">
        <f>20000</f>
        <v>20000</v>
      </c>
      <c r="K16" s="269">
        <f>274000-80000</f>
        <v>194000</v>
      </c>
      <c r="L16" s="269"/>
      <c r="M16" s="269"/>
      <c r="N16" s="101">
        <f t="shared" si="0"/>
        <v>2637387.73</v>
      </c>
      <c r="O16" s="139">
        <f>N16-2637387.73</f>
        <v>0</v>
      </c>
    </row>
    <row r="17" spans="1:14" ht="15.75">
      <c r="A17" s="129" t="s">
        <v>98</v>
      </c>
      <c r="B17" s="129" t="s">
        <v>98</v>
      </c>
      <c r="C17" s="129" t="s">
        <v>75</v>
      </c>
      <c r="D17" s="270"/>
      <c r="E17" s="270"/>
      <c r="F17" s="270"/>
      <c r="G17" s="270"/>
      <c r="H17" s="270"/>
      <c r="I17" s="270"/>
      <c r="J17" s="270"/>
      <c r="K17" s="270"/>
      <c r="L17" s="270"/>
      <c r="M17" s="270">
        <f>11062000-113500</f>
        <v>10948500</v>
      </c>
      <c r="N17" s="101">
        <f t="shared" si="0"/>
        <v>10948500</v>
      </c>
    </row>
    <row r="18" spans="1:14" ht="15.75">
      <c r="A18" s="108"/>
      <c r="B18" s="108"/>
      <c r="C18" s="108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101">
        <f>SUM(D18:M18)</f>
        <v>0</v>
      </c>
    </row>
    <row r="19" spans="1:14" ht="15.75">
      <c r="A19" s="108"/>
      <c r="B19" s="108"/>
      <c r="C19" s="108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1"/>
    </row>
    <row r="20" spans="1:14" ht="15.75">
      <c r="A20" s="108"/>
      <c r="B20" s="108"/>
      <c r="C20" s="108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</row>
    <row r="21" spans="1:14" ht="16.5" thickBot="1">
      <c r="A21" s="103"/>
      <c r="B21" s="103"/>
      <c r="C21" s="103"/>
      <c r="D21" s="104">
        <f>SUM(D8:D20)</f>
        <v>10217520</v>
      </c>
      <c r="E21" s="104">
        <f>SUM(E8:E20)</f>
        <v>40000</v>
      </c>
      <c r="F21" s="104">
        <f t="shared" ref="F21:M21" si="1">SUM(F8:F20)</f>
        <v>9835160</v>
      </c>
      <c r="G21" s="104">
        <f t="shared" si="1"/>
        <v>1356900</v>
      </c>
      <c r="H21" s="104">
        <f t="shared" si="1"/>
        <v>867000</v>
      </c>
      <c r="I21" s="104">
        <f t="shared" si="1"/>
        <v>12370920</v>
      </c>
      <c r="J21" s="104">
        <f t="shared" si="1"/>
        <v>515000</v>
      </c>
      <c r="K21" s="104">
        <f t="shared" si="1"/>
        <v>769000</v>
      </c>
      <c r="L21" s="104">
        <f t="shared" si="1"/>
        <v>200000</v>
      </c>
      <c r="M21" s="104">
        <f t="shared" si="1"/>
        <v>10948500</v>
      </c>
      <c r="N21" s="104">
        <f>SUM(N8:N20)</f>
        <v>47120000</v>
      </c>
    </row>
    <row r="22" spans="1:14" ht="15.75" thickTop="1">
      <c r="N22" s="268"/>
    </row>
    <row r="23" spans="1:14" ht="15">
      <c r="N23" s="109"/>
    </row>
    <row r="24" spans="1:14" ht="15">
      <c r="N24" s="267"/>
    </row>
    <row r="25" spans="1:14" ht="15">
      <c r="N25" s="109"/>
    </row>
  </sheetData>
  <mergeCells count="3">
    <mergeCell ref="A1:N1"/>
    <mergeCell ref="A2:N2"/>
    <mergeCell ref="A3:N3"/>
  </mergeCells>
  <pageMargins left="0" right="0" top="0.74803149606299213" bottom="0.15748031496062992" header="0" footer="0"/>
  <pageSetup paperSize="9" orientation="landscape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>
    <row r="1" spans="1:1">
      <c r="A1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29</vt:i4>
      </vt:variant>
    </vt:vector>
  </HeadingPairs>
  <TitlesOfParts>
    <vt:vector size="29" baseType="lpstr">
      <vt:lpstr>แสดงฐานะการเงิน</vt:lpstr>
      <vt:lpstr>ข้อมูลทั่วไป</vt:lpstr>
      <vt:lpstr>หมายเหตุ 1</vt:lpstr>
      <vt:lpstr>หมายเหตุ 2</vt:lpstr>
      <vt:lpstr>หมายเหตุ 3</vt:lpstr>
      <vt:lpstr>หมายเหตุ 4</vt:lpstr>
      <vt:lpstr>หมายเหตุ 5.</vt:lpstr>
      <vt:lpstr>หมายเหตุ 6.</vt:lpstr>
      <vt:lpstr>หมายเหตุ 7.</vt:lpstr>
      <vt:lpstr>หมายเหตุ 8</vt:lpstr>
      <vt:lpstr>แนบท้าย หมายเหตุ 8</vt:lpstr>
      <vt:lpstr>หมายเหตุ 9</vt:lpstr>
      <vt:lpstr>งบกลาง</vt:lpstr>
      <vt:lpstr>บริหารงานทั่วไป</vt:lpstr>
      <vt:lpstr>รักษาความสงบ</vt:lpstr>
      <vt:lpstr>ศึกษา</vt:lpstr>
      <vt:lpstr>สาธารณสุข</vt:lpstr>
      <vt:lpstr>สังคมสงเคราะห์</vt:lpstr>
      <vt:lpstr>เคหะและชุมชน</vt:lpstr>
      <vt:lpstr>ศาสนาฯ</vt:lpstr>
      <vt:lpstr>สร้างความเข็มแข็ง</vt:lpstr>
      <vt:lpstr>เกษตร</vt:lpstr>
      <vt:lpstr>แผนงานรวม</vt:lpstr>
      <vt:lpstr>จ่ายจากเงินสะสม</vt:lpstr>
      <vt:lpstr>จ่ายจากเงินสำรองเงินสะสม </vt:lpstr>
      <vt:lpstr>ผลการดำเนินงานจากรายรับ</vt:lpstr>
      <vt:lpstr>หมายเหตุประกอบงบแสดงผลฯ</vt:lpstr>
      <vt:lpstr>โอนงบประมาณ</vt:lpstr>
      <vt:lpstr>Sheet25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2017-10-17T04:50:20Z</cp:lastPrinted>
  <dcterms:created xsi:type="dcterms:W3CDTF">2015-11-17T03:55:59Z</dcterms:created>
  <dcterms:modified xsi:type="dcterms:W3CDTF">2018-01-24T03:36:30Z</dcterms:modified>
</cp:coreProperties>
</file>